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4.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5.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22.xml" ContentType="application/vnd.openxmlformats-officedocument.drawing+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7"/>
  <workbookPr defaultThemeVersion="166925"/>
  <mc:AlternateContent xmlns:mc="http://schemas.openxmlformats.org/markup-compatibility/2006">
    <mc:Choice Requires="x15">
      <x15ac:absPath xmlns:x15ac="http://schemas.microsoft.com/office/spreadsheetml/2010/11/ac" url="C:\Users\Agustin\Dropbox\PROYECTO FINAL\"/>
    </mc:Choice>
  </mc:AlternateContent>
  <xr:revisionPtr revIDLastSave="2" documentId="13_ncr:1_{280C553D-25DC-41FF-8B0F-CCF9AE58880E}" xr6:coauthVersionLast="47" xr6:coauthVersionMax="47" xr10:uidLastSave="{1EB6B6FE-293D-4DB0-A15B-BBA3EB91B3B5}"/>
  <bookViews>
    <workbookView xWindow="-108" yWindow="-108" windowWidth="23256" windowHeight="12576" tabRatio="820" activeTab="5" xr2:uid="{00000000-000D-0000-FFFF-FFFF00000000}"/>
  </bookViews>
  <sheets>
    <sheet name="Indice" sheetId="9" r:id="rId1"/>
    <sheet name="1.1 - Empresas constructoras" sheetId="5" r:id="rId2"/>
    <sheet name="1.2 - Superfie autorizadas" sheetId="4" r:id="rId3"/>
    <sheet name="1.3 - Historico Hormigon" sheetId="3" r:id="rId4"/>
    <sheet name="1.4 -Proy. hormigon 2024 - 2028" sheetId="2" r:id="rId5"/>
    <sheet name="1.5 - Proyeccion demanda" sheetId="1" r:id="rId6"/>
    <sheet name="1.6 - Politica de precio" sheetId="8" r:id="rId7"/>
    <sheet name="2.1 - Iluminacion" sheetId="45" r:id="rId8"/>
    <sheet name="2.2 - Refrigeracion" sheetId="47" r:id="rId9"/>
    <sheet name="2.3 - Incendio" sheetId="48" r:id="rId10"/>
    <sheet name="2.4 - Ventilacion" sheetId="46" r:id="rId11"/>
    <sheet name="2.5 - Agua" sheetId="50" r:id="rId12"/>
    <sheet name="2.6 - Aire" sheetId="51" r:id="rId13"/>
    <sheet name="2.7 -Potencia " sheetId="49" r:id="rId14"/>
    <sheet name="3.1 - Localizacion" sheetId="10" r:id="rId15"/>
    <sheet name="3.2- Distribución Arborea" sheetId="54" r:id="rId16"/>
    <sheet name="3.3 - Lista de materiales" sheetId="55" r:id="rId17"/>
    <sheet name="3.4 - Plan de fabricacion" sheetId="37" r:id="rId18"/>
    <sheet name="3.5 - Personal requerido" sheetId="12" r:id="rId19"/>
    <sheet name="3.6 - Costos MP" sheetId="15" r:id="rId20"/>
    <sheet name="3.7 - Costos MOD" sheetId="14" r:id="rId21"/>
    <sheet name="3.8 - Costos CCP " sheetId="17" r:id="rId22"/>
    <sheet name="3.9 - Costeo por absorcion" sheetId="19" r:id="rId23"/>
    <sheet name="3.10 - Inversiones" sheetId="18" r:id="rId24"/>
    <sheet name="3.11 - Presupuesto gastos" sheetId="21" r:id="rId25"/>
    <sheet name="3.12 - Punto de equilibrio" sheetId="52" r:id="rId26"/>
    <sheet name="3.13 Política de Stock MP" sheetId="56" r:id="rId27"/>
    <sheet name="3.14 Política de Stock PT" sheetId="59" r:id="rId28"/>
    <sheet name="4.1 - Cash Flow " sheetId="32" r:id="rId29"/>
    <sheet name="4.2 - Fujo de fondos" sheetId="36" r:id="rId30"/>
    <sheet name="4.3 - Financiación" sheetId="25" r:id="rId31"/>
    <sheet name="4.4 - Amortizaciones" sheetId="26" r:id="rId32"/>
    <sheet name="4.5 - Estado de resultados" sheetId="28" r:id="rId33"/>
    <sheet name="5.1 - Matriz de Leopold" sheetId="34" r:id="rId34"/>
    <sheet name="6.1 Matriz Riesgo" sheetId="35" r:id="rId35"/>
    <sheet name="6.2 Analisis de sensibilidad" sheetId="38" r:id="rId36"/>
    <sheet name="7.1- Escenario Optimista" sheetId="40" r:id="rId37"/>
    <sheet name="7.2 - Escenario Optimista Corre" sheetId="41" r:id="rId38"/>
    <sheet name="7.3 - Escenario Pesimista" sheetId="42" r:id="rId39"/>
    <sheet name="7.4 - Escenario Pesimista Corre" sheetId="43" r:id="rId40"/>
    <sheet name="7.5 - Analisis comparativo " sheetId="44" r:id="rId41"/>
  </sheets>
  <externalReferences>
    <externalReference r:id="rId42"/>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6" i="52" l="1"/>
  <c r="E36" i="52"/>
  <c r="F36" i="52"/>
  <c r="G36" i="52"/>
  <c r="G35" i="52"/>
  <c r="F35" i="52"/>
  <c r="E35" i="52"/>
  <c r="D35" i="52"/>
  <c r="C36" i="52"/>
  <c r="C35" i="52"/>
  <c r="D34" i="52"/>
  <c r="E34" i="52"/>
  <c r="F34" i="52"/>
  <c r="G34" i="52"/>
  <c r="C34" i="52"/>
  <c r="O38" i="42"/>
  <c r="E38" i="42"/>
  <c r="O37" i="42"/>
  <c r="N37" i="42"/>
  <c r="M37" i="42"/>
  <c r="L37" i="42"/>
  <c r="J37" i="42"/>
  <c r="I37" i="42"/>
  <c r="H37" i="42"/>
  <c r="F37" i="42"/>
  <c r="E37" i="42"/>
  <c r="D37" i="42"/>
  <c r="M36" i="42"/>
  <c r="N36" i="42"/>
  <c r="L36" i="42"/>
  <c r="J36" i="42"/>
  <c r="H36" i="42"/>
  <c r="F36" i="42"/>
  <c r="D36" i="42"/>
  <c r="O35" i="42"/>
  <c r="N35" i="42"/>
  <c r="M35" i="42"/>
  <c r="L35" i="42"/>
  <c r="K35" i="42"/>
  <c r="J35" i="42"/>
  <c r="I35" i="42"/>
  <c r="H35" i="42"/>
  <c r="G35" i="42"/>
  <c r="F35" i="42"/>
  <c r="E35" i="42"/>
  <c r="D35" i="42"/>
  <c r="O34" i="42"/>
  <c r="N34" i="42"/>
  <c r="M34" i="42"/>
  <c r="L34" i="42"/>
  <c r="K34" i="42"/>
  <c r="J34" i="42"/>
  <c r="I34" i="42"/>
  <c r="H34" i="42"/>
  <c r="G34" i="42"/>
  <c r="F34" i="42"/>
  <c r="E34" i="42"/>
  <c r="D34" i="42"/>
  <c r="O32" i="42"/>
  <c r="N32" i="42"/>
  <c r="M32" i="42"/>
  <c r="L32" i="42"/>
  <c r="K32" i="42"/>
  <c r="J32" i="42"/>
  <c r="I32" i="42"/>
  <c r="H32" i="42"/>
  <c r="G32" i="42"/>
  <c r="F32" i="42"/>
  <c r="E32" i="42"/>
  <c r="D32" i="42"/>
  <c r="O31" i="42"/>
  <c r="N31" i="42"/>
  <c r="M31" i="42"/>
  <c r="L31" i="42"/>
  <c r="K31" i="42"/>
  <c r="J31" i="42"/>
  <c r="I31" i="42"/>
  <c r="H31" i="42"/>
  <c r="G31" i="42"/>
  <c r="F31" i="42"/>
  <c r="E31" i="42"/>
  <c r="D31" i="42"/>
  <c r="O30" i="42"/>
  <c r="N30" i="42"/>
  <c r="M30" i="42"/>
  <c r="L30" i="42"/>
  <c r="K30" i="42"/>
  <c r="J30" i="42"/>
  <c r="I30" i="42"/>
  <c r="H30" i="42"/>
  <c r="G30" i="42"/>
  <c r="F30" i="42"/>
  <c r="E30" i="42"/>
  <c r="D30" i="42"/>
  <c r="O29" i="42"/>
  <c r="N29" i="42"/>
  <c r="M29" i="42"/>
  <c r="L29" i="42"/>
  <c r="K29" i="42"/>
  <c r="J29" i="42"/>
  <c r="I29" i="42"/>
  <c r="H29" i="42"/>
  <c r="G29" i="42"/>
  <c r="F29" i="42"/>
  <c r="E29" i="42"/>
  <c r="D29" i="42"/>
  <c r="O28" i="42"/>
  <c r="N28" i="42"/>
  <c r="M28" i="42"/>
  <c r="L28" i="42"/>
  <c r="K28" i="42"/>
  <c r="J28" i="42"/>
  <c r="I28" i="42"/>
  <c r="H28" i="42"/>
  <c r="G28" i="42"/>
  <c r="F28" i="42"/>
  <c r="E28" i="42"/>
  <c r="D28" i="42"/>
  <c r="O27" i="42"/>
  <c r="N27" i="42"/>
  <c r="M27" i="42"/>
  <c r="L27" i="42"/>
  <c r="K27" i="42"/>
  <c r="J27" i="42"/>
  <c r="I27" i="42"/>
  <c r="H27" i="42"/>
  <c r="G27" i="42"/>
  <c r="F27" i="42"/>
  <c r="E27" i="42"/>
  <c r="D27" i="42"/>
  <c r="O26" i="42"/>
  <c r="N26" i="42"/>
  <c r="M26" i="42"/>
  <c r="L26" i="42"/>
  <c r="K26" i="42"/>
  <c r="J26" i="42"/>
  <c r="I26" i="42"/>
  <c r="H26" i="42"/>
  <c r="G26" i="42"/>
  <c r="F26" i="42"/>
  <c r="E26" i="42"/>
  <c r="D26" i="42"/>
  <c r="O25" i="42"/>
  <c r="N25" i="42"/>
  <c r="M25" i="42"/>
  <c r="L25" i="42"/>
  <c r="K25" i="42"/>
  <c r="J25" i="42"/>
  <c r="I25" i="42"/>
  <c r="H25" i="42"/>
  <c r="G25" i="42"/>
  <c r="F25" i="42"/>
  <c r="E25" i="42"/>
  <c r="D25" i="42"/>
  <c r="O24" i="42"/>
  <c r="N24" i="42"/>
  <c r="M24" i="42"/>
  <c r="L24" i="42"/>
  <c r="K24" i="42"/>
  <c r="J24" i="42"/>
  <c r="I24" i="42"/>
  <c r="H24" i="42"/>
  <c r="G24" i="42"/>
  <c r="F24" i="42"/>
  <c r="E24" i="42"/>
  <c r="D24" i="42"/>
  <c r="O23" i="42"/>
  <c r="N23" i="42"/>
  <c r="M23" i="42"/>
  <c r="L23" i="42"/>
  <c r="K23" i="42"/>
  <c r="J23" i="42"/>
  <c r="I23" i="42"/>
  <c r="H23" i="42"/>
  <c r="G23" i="42"/>
  <c r="F23" i="42"/>
  <c r="E23" i="42"/>
  <c r="D23" i="42"/>
  <c r="O22" i="42"/>
  <c r="N22" i="42"/>
  <c r="M22" i="42"/>
  <c r="L22" i="42"/>
  <c r="K22" i="42"/>
  <c r="J22" i="42"/>
  <c r="I22" i="42"/>
  <c r="H22" i="42"/>
  <c r="G22" i="42"/>
  <c r="F22" i="42"/>
  <c r="E22" i="42"/>
  <c r="D22" i="42"/>
  <c r="O21" i="42"/>
  <c r="N21" i="42"/>
  <c r="M21" i="42"/>
  <c r="L21" i="42"/>
  <c r="K21" i="42"/>
  <c r="J21" i="42"/>
  <c r="I21" i="42"/>
  <c r="H21" i="42"/>
  <c r="G21" i="42"/>
  <c r="F21" i="42"/>
  <c r="E21" i="42"/>
  <c r="D21" i="42"/>
  <c r="O20" i="42"/>
  <c r="N20" i="42"/>
  <c r="M20" i="42"/>
  <c r="L20" i="42"/>
  <c r="K20" i="42"/>
  <c r="J20" i="42"/>
  <c r="I20" i="42"/>
  <c r="H20" i="42"/>
  <c r="G20" i="42"/>
  <c r="F20" i="42"/>
  <c r="E20" i="42"/>
  <c r="D20" i="42"/>
  <c r="O19" i="42"/>
  <c r="N19" i="42"/>
  <c r="M19" i="42"/>
  <c r="L19" i="42"/>
  <c r="K19" i="42"/>
  <c r="J19" i="42"/>
  <c r="I19" i="42"/>
  <c r="H19" i="42"/>
  <c r="G19" i="42"/>
  <c r="F19" i="42"/>
  <c r="E19" i="42"/>
  <c r="D19" i="42"/>
  <c r="O18" i="42"/>
  <c r="N18" i="42"/>
  <c r="M18" i="42"/>
  <c r="L18" i="42"/>
  <c r="K18" i="42"/>
  <c r="J18" i="42"/>
  <c r="I18" i="42"/>
  <c r="H18" i="42"/>
  <c r="G18" i="42"/>
  <c r="F18" i="42"/>
  <c r="E18" i="42"/>
  <c r="D18" i="42"/>
  <c r="O17" i="42"/>
  <c r="N17" i="42"/>
  <c r="M17" i="42"/>
  <c r="L17" i="42"/>
  <c r="K17" i="42"/>
  <c r="J17" i="42"/>
  <c r="I17" i="42"/>
  <c r="H17" i="42"/>
  <c r="G17" i="42"/>
  <c r="F17" i="42"/>
  <c r="E17" i="42"/>
  <c r="D17" i="42"/>
  <c r="O15" i="42"/>
  <c r="N15" i="42"/>
  <c r="M15" i="42"/>
  <c r="L15" i="42"/>
  <c r="K15" i="42"/>
  <c r="J15" i="42"/>
  <c r="I15" i="42"/>
  <c r="H15" i="42"/>
  <c r="G15" i="42"/>
  <c r="F15" i="42"/>
  <c r="E15" i="42"/>
  <c r="D15" i="42"/>
  <c r="O14" i="42"/>
  <c r="N14" i="42"/>
  <c r="M14" i="42"/>
  <c r="L14" i="42"/>
  <c r="K14" i="42"/>
  <c r="J14" i="42"/>
  <c r="I14" i="42"/>
  <c r="H14" i="42"/>
  <c r="G14" i="42"/>
  <c r="F14" i="42"/>
  <c r="E14" i="42"/>
  <c r="D14" i="42"/>
  <c r="O10" i="42"/>
  <c r="N10" i="42"/>
  <c r="M10" i="42"/>
  <c r="L10" i="42"/>
  <c r="K10" i="42"/>
  <c r="J10" i="42"/>
  <c r="I10" i="42"/>
  <c r="H10" i="42"/>
  <c r="G10" i="42"/>
  <c r="F10" i="42"/>
  <c r="E10" i="42"/>
  <c r="D10" i="42"/>
  <c r="O9" i="42"/>
  <c r="O13" i="42" s="1"/>
  <c r="N9" i="42"/>
  <c r="N13" i="42" s="1"/>
  <c r="M9" i="42"/>
  <c r="L9" i="42"/>
  <c r="L16" i="42" s="1"/>
  <c r="K9" i="42"/>
  <c r="K13" i="42" s="1"/>
  <c r="J9" i="42"/>
  <c r="J16" i="42" s="1"/>
  <c r="I9" i="42"/>
  <c r="I16" i="42" s="1"/>
  <c r="H9" i="42"/>
  <c r="G9" i="42"/>
  <c r="F9" i="42"/>
  <c r="F16" i="42" s="1"/>
  <c r="E9" i="42"/>
  <c r="E13" i="42" s="1"/>
  <c r="D9" i="42"/>
  <c r="D16" i="42" s="1"/>
  <c r="O8" i="42"/>
  <c r="O33" i="42" s="1"/>
  <c r="N8" i="42"/>
  <c r="N33" i="42" s="1"/>
  <c r="M8" i="42"/>
  <c r="M33" i="42" s="1"/>
  <c r="L8" i="42"/>
  <c r="L33" i="42" s="1"/>
  <c r="K8" i="42"/>
  <c r="K33" i="42" s="1"/>
  <c r="J8" i="42"/>
  <c r="J33" i="42" s="1"/>
  <c r="I8" i="42"/>
  <c r="I33" i="42" s="1"/>
  <c r="H8" i="42"/>
  <c r="H33" i="42" s="1"/>
  <c r="G8" i="42"/>
  <c r="G33" i="42" s="1"/>
  <c r="F8" i="42"/>
  <c r="F33" i="42" s="1"/>
  <c r="E8" i="42"/>
  <c r="D8" i="42"/>
  <c r="F11" i="42" l="1"/>
  <c r="E33" i="42"/>
  <c r="F13" i="42"/>
  <c r="E16" i="42"/>
  <c r="N16" i="42"/>
  <c r="J38" i="42"/>
  <c r="I13" i="42"/>
  <c r="G36" i="42"/>
  <c r="K36" i="42"/>
  <c r="O36" i="42"/>
  <c r="F38" i="42"/>
  <c r="L38" i="42"/>
  <c r="J13" i="42"/>
  <c r="H38" i="42"/>
  <c r="M38" i="42"/>
  <c r="K11" i="42"/>
  <c r="K16" i="42"/>
  <c r="E36" i="42"/>
  <c r="I36" i="42"/>
  <c r="D38" i="42"/>
  <c r="I38" i="42"/>
  <c r="N38" i="42"/>
  <c r="H16" i="42"/>
  <c r="H13" i="42"/>
  <c r="I11" i="42"/>
  <c r="N11" i="42"/>
  <c r="O11" i="42"/>
  <c r="D13" i="42"/>
  <c r="L13" i="42"/>
  <c r="O16" i="42"/>
  <c r="D33" i="42"/>
  <c r="D11" i="42"/>
  <c r="J39" i="42"/>
  <c r="J41" i="42" s="1"/>
  <c r="M16" i="42"/>
  <c r="M13" i="42"/>
  <c r="E11" i="42"/>
  <c r="J11" i="42"/>
  <c r="G13" i="42"/>
  <c r="G16" i="42"/>
  <c r="G11" i="42"/>
  <c r="M11" i="42"/>
  <c r="H11" i="42"/>
  <c r="L11" i="42"/>
  <c r="G37" i="42"/>
  <c r="K37" i="42"/>
  <c r="G38" i="42"/>
  <c r="K38" i="42"/>
  <c r="O39" i="42" l="1"/>
  <c r="O41" i="42" s="1"/>
  <c r="O42" i="42" s="1"/>
  <c r="J42" i="42"/>
  <c r="H39" i="42"/>
  <c r="H41" i="42" s="1"/>
  <c r="H42" i="42" s="1"/>
  <c r="M39" i="42"/>
  <c r="M41" i="42" s="1"/>
  <c r="M42" i="42" s="1"/>
  <c r="L39" i="42"/>
  <c r="L41" i="42" s="1"/>
  <c r="L42" i="42" s="1"/>
  <c r="D39" i="42"/>
  <c r="E39" i="42"/>
  <c r="E41" i="42" s="1"/>
  <c r="E42" i="42" s="1"/>
  <c r="D41" i="42"/>
  <c r="D42" i="42" s="1"/>
  <c r="D43" i="42" s="1"/>
  <c r="N39" i="42"/>
  <c r="N41" i="42" s="1"/>
  <c r="N42" i="42" s="1"/>
  <c r="I39" i="42"/>
  <c r="I41" i="42" s="1"/>
  <c r="I42" i="42" s="1"/>
  <c r="G39" i="42"/>
  <c r="G41" i="42" s="1"/>
  <c r="G42" i="42" s="1"/>
  <c r="F39" i="42"/>
  <c r="F41" i="42" s="1"/>
  <c r="F42" i="42" s="1"/>
  <c r="K39" i="42"/>
  <c r="K41" i="42" s="1"/>
  <c r="K42" i="42" s="1"/>
  <c r="E43" i="42" l="1"/>
  <c r="F43" i="42" s="1"/>
  <c r="G43" i="42"/>
  <c r="H43" i="42" s="1"/>
  <c r="I43" i="42" s="1"/>
  <c r="J43" i="42" s="1"/>
  <c r="K43" i="42" s="1"/>
  <c r="L43" i="42" s="1"/>
  <c r="M43" i="42" s="1"/>
  <c r="N43" i="42" s="1"/>
  <c r="O43" i="42" s="1"/>
  <c r="C13" i="15" l="1"/>
  <c r="C14" i="15"/>
  <c r="C15" i="15"/>
  <c r="G33" i="52"/>
  <c r="F33" i="52"/>
  <c r="E33" i="52"/>
  <c r="D33" i="52"/>
  <c r="C33" i="52"/>
  <c r="G31" i="52"/>
  <c r="G32" i="52"/>
  <c r="F31" i="52"/>
  <c r="F32" i="52"/>
  <c r="E31" i="52"/>
  <c r="E32" i="52"/>
  <c r="D31" i="52"/>
  <c r="D32" i="52"/>
  <c r="C31" i="52"/>
  <c r="C32" i="52"/>
  <c r="C30" i="52"/>
  <c r="D30" i="52"/>
  <c r="E30" i="52"/>
  <c r="F30" i="52"/>
  <c r="G30" i="52"/>
  <c r="D6" i="52" l="1"/>
  <c r="G6" i="52"/>
  <c r="C6" i="52"/>
  <c r="E6" i="52"/>
  <c r="F6" i="52"/>
  <c r="C9" i="36" l="1"/>
  <c r="C8" i="36"/>
  <c r="D10" i="36"/>
  <c r="E10" i="36"/>
  <c r="F10" i="36"/>
  <c r="G10" i="36"/>
  <c r="H10" i="36"/>
  <c r="L7" i="25"/>
  <c r="BE35" i="32"/>
  <c r="BF35" i="32"/>
  <c r="BG35" i="32"/>
  <c r="BH35" i="32"/>
  <c r="BI35" i="32"/>
  <c r="BJ35" i="32"/>
  <c r="BK35" i="32"/>
  <c r="BL35" i="32"/>
  <c r="BM35" i="32"/>
  <c r="BN35" i="32"/>
  <c r="BO35" i="32"/>
  <c r="BD35" i="32"/>
  <c r="BP35" i="32" s="1"/>
  <c r="AR35" i="32"/>
  <c r="AS35" i="32"/>
  <c r="AT35" i="32"/>
  <c r="AU35" i="32"/>
  <c r="AV35" i="32"/>
  <c r="AW35" i="32"/>
  <c r="AX35" i="32"/>
  <c r="AY35" i="32"/>
  <c r="AZ35" i="32"/>
  <c r="BA35" i="32"/>
  <c r="BB35" i="32"/>
  <c r="AQ35" i="32"/>
  <c r="BC35" i="32" s="1"/>
  <c r="AE35" i="32"/>
  <c r="AF35" i="32"/>
  <c r="AG35" i="32"/>
  <c r="AH35" i="32"/>
  <c r="AI35" i="32"/>
  <c r="AJ35" i="32"/>
  <c r="AK35" i="32"/>
  <c r="AL35" i="32"/>
  <c r="AM35" i="32"/>
  <c r="AN35" i="32"/>
  <c r="AO35" i="32"/>
  <c r="AD35" i="32"/>
  <c r="AP35" i="32" s="1"/>
  <c r="R35" i="32"/>
  <c r="S35" i="32"/>
  <c r="T35" i="32"/>
  <c r="U35" i="32"/>
  <c r="V35" i="32"/>
  <c r="W35" i="32"/>
  <c r="X35" i="32"/>
  <c r="Y35" i="32"/>
  <c r="Z35" i="32"/>
  <c r="AA35" i="32"/>
  <c r="AB35" i="32"/>
  <c r="Q35" i="32"/>
  <c r="AC35" i="32" s="1"/>
  <c r="E35" i="32"/>
  <c r="F35" i="32"/>
  <c r="G35" i="32"/>
  <c r="H35" i="32"/>
  <c r="I35" i="32"/>
  <c r="J35" i="32"/>
  <c r="K35" i="32"/>
  <c r="L35" i="32"/>
  <c r="M35" i="32"/>
  <c r="N35" i="32"/>
  <c r="O35" i="32"/>
  <c r="D35" i="32"/>
  <c r="P35" i="32" s="1"/>
  <c r="D157" i="21"/>
  <c r="D156" i="21"/>
  <c r="D155" i="21"/>
  <c r="D154" i="21"/>
  <c r="E154" i="21"/>
  <c r="E153" i="21"/>
  <c r="D153" i="21"/>
  <c r="K25" i="21"/>
  <c r="I25" i="21"/>
  <c r="G25" i="21"/>
  <c r="E25" i="21"/>
  <c r="C25" i="21"/>
  <c r="E146" i="21"/>
  <c r="E147" i="21"/>
  <c r="E148" i="21"/>
  <c r="E149" i="21"/>
  <c r="E145" i="21"/>
  <c r="D149" i="21"/>
  <c r="D148" i="21"/>
  <c r="D147" i="21"/>
  <c r="D146" i="21"/>
  <c r="D145" i="21"/>
  <c r="C146" i="21"/>
  <c r="C147" i="21" s="1"/>
  <c r="C148" i="21" s="1"/>
  <c r="C149" i="21" s="1"/>
  <c r="L25" i="21"/>
  <c r="H25" i="21"/>
  <c r="J25" i="21"/>
  <c r="H17" i="8"/>
  <c r="C16" i="8"/>
  <c r="G6" i="2"/>
  <c r="D34" i="32"/>
  <c r="E34" i="32"/>
  <c r="F34" i="32"/>
  <c r="G34" i="32"/>
  <c r="H34" i="32"/>
  <c r="I34" i="32"/>
  <c r="J34" i="32"/>
  <c r="K34" i="32"/>
  <c r="L34" i="32"/>
  <c r="M34" i="32"/>
  <c r="N34" i="32"/>
  <c r="O34" i="32"/>
  <c r="Q34" i="32"/>
  <c r="R34" i="32"/>
  <c r="S34" i="32"/>
  <c r="T34" i="32"/>
  <c r="U34" i="32"/>
  <c r="V34" i="32"/>
  <c r="W34" i="32"/>
  <c r="X34" i="32"/>
  <c r="Y34" i="32"/>
  <c r="Z34" i="32"/>
  <c r="AA34" i="32"/>
  <c r="AB34" i="32"/>
  <c r="AD34" i="32"/>
  <c r="AE34" i="32"/>
  <c r="AF34" i="32"/>
  <c r="AG34" i="32"/>
  <c r="AH34" i="32"/>
  <c r="AI34" i="32"/>
  <c r="AJ34" i="32"/>
  <c r="AK34" i="32"/>
  <c r="AL34" i="32"/>
  <c r="AM34" i="32"/>
  <c r="AN34" i="32"/>
  <c r="AO34" i="32"/>
  <c r="AQ34" i="32"/>
  <c r="AR34" i="32"/>
  <c r="AS34" i="32"/>
  <c r="AT34" i="32"/>
  <c r="AU34" i="32"/>
  <c r="AV34" i="32"/>
  <c r="AW34" i="32"/>
  <c r="AX34" i="32"/>
  <c r="AY34" i="32"/>
  <c r="AZ34" i="32"/>
  <c r="BA34" i="32"/>
  <c r="BB34" i="32"/>
  <c r="BD34" i="32"/>
  <c r="BE34" i="32"/>
  <c r="BF34" i="32"/>
  <c r="BG34" i="32"/>
  <c r="BH34" i="32"/>
  <c r="BI34" i="32"/>
  <c r="BJ34" i="32"/>
  <c r="BK34" i="32"/>
  <c r="BL34" i="32"/>
  <c r="BM34" i="32"/>
  <c r="BN34" i="32"/>
  <c r="BO34" i="32"/>
  <c r="D141" i="21"/>
  <c r="D140" i="21"/>
  <c r="D139" i="21"/>
  <c r="D138" i="21"/>
  <c r="D137" i="21"/>
  <c r="C141" i="21"/>
  <c r="C140" i="21"/>
  <c r="F140" i="21" s="1"/>
  <c r="G140" i="21" s="1"/>
  <c r="C139" i="21"/>
  <c r="C138" i="21"/>
  <c r="F138" i="21" s="1"/>
  <c r="E24" i="21" s="1"/>
  <c r="F24" i="21" s="1"/>
  <c r="C137" i="21"/>
  <c r="E9" i="44" l="1"/>
  <c r="E157" i="21"/>
  <c r="E156" i="21"/>
  <c r="E155" i="21"/>
  <c r="F139" i="21"/>
  <c r="G24" i="21" s="1"/>
  <c r="H24" i="21" s="1"/>
  <c r="F137" i="21"/>
  <c r="C24" i="21" s="1"/>
  <c r="D24" i="21" s="1"/>
  <c r="G139" i="21"/>
  <c r="F141" i="21"/>
  <c r="I24" i="21"/>
  <c r="J24" i="21" s="1"/>
  <c r="G138" i="21"/>
  <c r="P34" i="32"/>
  <c r="BC34" i="32"/>
  <c r="AC34" i="32"/>
  <c r="AP34" i="32"/>
  <c r="BP34" i="32"/>
  <c r="E7" i="44"/>
  <c r="D7" i="44"/>
  <c r="L6" i="59"/>
  <c r="L7" i="59"/>
  <c r="L8" i="59"/>
  <c r="L9" i="59"/>
  <c r="L5" i="59"/>
  <c r="F9" i="59"/>
  <c r="F8" i="59"/>
  <c r="F7" i="59"/>
  <c r="F6" i="59"/>
  <c r="F5" i="59"/>
  <c r="BR11" i="37"/>
  <c r="G17" i="37"/>
  <c r="O17" i="37"/>
  <c r="G5" i="59" s="1"/>
  <c r="G9" i="59"/>
  <c r="G8" i="59"/>
  <c r="G7" i="59"/>
  <c r="G6" i="59"/>
  <c r="J6" i="59"/>
  <c r="J7" i="59"/>
  <c r="J8" i="59"/>
  <c r="J9" i="59"/>
  <c r="J5" i="59"/>
  <c r="E9" i="59"/>
  <c r="E8" i="59"/>
  <c r="E7" i="59"/>
  <c r="E6" i="59"/>
  <c r="E5" i="59"/>
  <c r="D9" i="59"/>
  <c r="D8" i="59"/>
  <c r="D7" i="59"/>
  <c r="D6" i="59"/>
  <c r="D5" i="59"/>
  <c r="C9" i="59"/>
  <c r="C8" i="59"/>
  <c r="C7" i="59"/>
  <c r="C6" i="59"/>
  <c r="C5" i="59"/>
  <c r="O46" i="56"/>
  <c r="P46" i="56"/>
  <c r="Q46" i="56" s="1"/>
  <c r="O47" i="56"/>
  <c r="P47" i="56"/>
  <c r="P45" i="56"/>
  <c r="O45" i="56"/>
  <c r="O36" i="56"/>
  <c r="P36" i="56"/>
  <c r="O37" i="56"/>
  <c r="P37" i="56"/>
  <c r="P35" i="56"/>
  <c r="O35" i="56"/>
  <c r="O26" i="56"/>
  <c r="P26" i="56"/>
  <c r="O27" i="56"/>
  <c r="P27" i="56"/>
  <c r="P25" i="56"/>
  <c r="O25" i="56"/>
  <c r="O17" i="56"/>
  <c r="Q17" i="56" s="1"/>
  <c r="P17" i="56"/>
  <c r="P16" i="56"/>
  <c r="O16" i="56"/>
  <c r="P15" i="56"/>
  <c r="O15" i="56"/>
  <c r="Q49" i="56"/>
  <c r="Q50" i="56"/>
  <c r="Q51" i="56"/>
  <c r="Q52" i="56"/>
  <c r="Q39" i="56"/>
  <c r="Q40" i="56"/>
  <c r="Q41" i="56"/>
  <c r="Q42" i="56"/>
  <c r="Q29" i="56"/>
  <c r="Q30" i="56"/>
  <c r="Q31" i="56"/>
  <c r="Q32" i="56"/>
  <c r="Q19" i="56"/>
  <c r="Q20" i="56"/>
  <c r="Q21" i="56"/>
  <c r="Q22" i="56"/>
  <c r="Q12" i="56"/>
  <c r="Q10" i="56"/>
  <c r="Q11" i="56"/>
  <c r="K9" i="56"/>
  <c r="K19" i="56" s="1"/>
  <c r="K29" i="56" s="1"/>
  <c r="K39" i="56" s="1"/>
  <c r="K49" i="56" s="1"/>
  <c r="K12" i="56"/>
  <c r="K22" i="56" s="1"/>
  <c r="K32" i="56" s="1"/>
  <c r="K42" i="56" s="1"/>
  <c r="K52" i="56" s="1"/>
  <c r="K11" i="56"/>
  <c r="K21" i="56" s="1"/>
  <c r="K31" i="56" s="1"/>
  <c r="K41" i="56" s="1"/>
  <c r="K51" i="56" s="1"/>
  <c r="K10" i="56"/>
  <c r="K20" i="56" s="1"/>
  <c r="K30" i="56" s="1"/>
  <c r="K40" i="56" s="1"/>
  <c r="K50" i="56" s="1"/>
  <c r="K8" i="56"/>
  <c r="K18" i="56" s="1"/>
  <c r="K28" i="56" s="1"/>
  <c r="K38" i="56" s="1"/>
  <c r="K48" i="56" s="1"/>
  <c r="K7" i="56"/>
  <c r="K17" i="56" s="1"/>
  <c r="K27" i="56" s="1"/>
  <c r="K37" i="56" s="1"/>
  <c r="K47" i="56" s="1"/>
  <c r="K5" i="56"/>
  <c r="K15" i="56" s="1"/>
  <c r="K25" i="56" s="1"/>
  <c r="K35" i="56" s="1"/>
  <c r="K45" i="56" s="1"/>
  <c r="K6" i="56"/>
  <c r="K16" i="56" s="1"/>
  <c r="K26" i="56" s="1"/>
  <c r="K36" i="56" s="1"/>
  <c r="K46" i="56" s="1"/>
  <c r="G52" i="56"/>
  <c r="G51" i="56"/>
  <c r="G50" i="56"/>
  <c r="G49" i="56"/>
  <c r="G48" i="56"/>
  <c r="G47" i="56"/>
  <c r="G46" i="56"/>
  <c r="G45" i="56"/>
  <c r="G42" i="56"/>
  <c r="G41" i="56"/>
  <c r="G40" i="56"/>
  <c r="G39" i="56"/>
  <c r="G38" i="56"/>
  <c r="G37" i="56"/>
  <c r="G36" i="56"/>
  <c r="G35" i="56"/>
  <c r="G32" i="56"/>
  <c r="G31" i="56"/>
  <c r="G30" i="56"/>
  <c r="G29" i="56"/>
  <c r="G28" i="56"/>
  <c r="G27" i="56"/>
  <c r="G26" i="56"/>
  <c r="G25" i="56"/>
  <c r="G22" i="56"/>
  <c r="G21" i="56"/>
  <c r="G20" i="56"/>
  <c r="G19" i="56"/>
  <c r="G18" i="56"/>
  <c r="G17" i="56"/>
  <c r="G16" i="56"/>
  <c r="G15" i="56"/>
  <c r="G6" i="56"/>
  <c r="G7" i="56"/>
  <c r="G8" i="56"/>
  <c r="G9" i="56"/>
  <c r="G10" i="56"/>
  <c r="G11" i="56"/>
  <c r="G12" i="56"/>
  <c r="G5" i="56"/>
  <c r="B45" i="56"/>
  <c r="H46" i="56" s="1"/>
  <c r="B35" i="56"/>
  <c r="H36" i="56" s="1"/>
  <c r="B25" i="56"/>
  <c r="H26" i="56" s="1"/>
  <c r="B15" i="56"/>
  <c r="H16" i="56" s="1"/>
  <c r="B5" i="56"/>
  <c r="E16" i="56"/>
  <c r="E26" i="56" s="1"/>
  <c r="E36" i="56" s="1"/>
  <c r="E46" i="56" s="1"/>
  <c r="E17" i="56"/>
  <c r="E27" i="56" s="1"/>
  <c r="E37" i="56" s="1"/>
  <c r="E47" i="56" s="1"/>
  <c r="E18" i="56"/>
  <c r="E28" i="56" s="1"/>
  <c r="E38" i="56" s="1"/>
  <c r="E48" i="56" s="1"/>
  <c r="E19" i="56"/>
  <c r="E29" i="56" s="1"/>
  <c r="E39" i="56" s="1"/>
  <c r="E49" i="56" s="1"/>
  <c r="E20" i="56"/>
  <c r="E30" i="56" s="1"/>
  <c r="E40" i="56" s="1"/>
  <c r="E50" i="56" s="1"/>
  <c r="E21" i="56"/>
  <c r="E31" i="56" s="1"/>
  <c r="E41" i="56" s="1"/>
  <c r="E51" i="56" s="1"/>
  <c r="E22" i="56"/>
  <c r="E32" i="56" s="1"/>
  <c r="E42" i="56" s="1"/>
  <c r="E52" i="56" s="1"/>
  <c r="E15" i="56"/>
  <c r="E25" i="56" s="1"/>
  <c r="E35" i="56" s="1"/>
  <c r="E45" i="56" s="1"/>
  <c r="D8" i="56"/>
  <c r="D9" i="56"/>
  <c r="D10" i="56"/>
  <c r="D11" i="56"/>
  <c r="D12" i="56"/>
  <c r="E6" i="44"/>
  <c r="D6" i="44"/>
  <c r="E8" i="44"/>
  <c r="D8" i="44"/>
  <c r="D9" i="44"/>
  <c r="L44" i="25"/>
  <c r="E120" i="25"/>
  <c r="K13" i="28" s="1"/>
  <c r="D85" i="25"/>
  <c r="D86" i="25"/>
  <c r="D87" i="25"/>
  <c r="D88" i="25"/>
  <c r="D89" i="25"/>
  <c r="D90" i="25"/>
  <c r="D91" i="25"/>
  <c r="D92" i="25"/>
  <c r="D93" i="25"/>
  <c r="D94" i="25"/>
  <c r="D95" i="25"/>
  <c r="D96" i="25"/>
  <c r="D97" i="25"/>
  <c r="D98" i="25"/>
  <c r="D99" i="25"/>
  <c r="D100" i="25"/>
  <c r="D101" i="25"/>
  <c r="D102" i="25"/>
  <c r="D103" i="25"/>
  <c r="D104" i="25"/>
  <c r="D105" i="25"/>
  <c r="D106" i="25"/>
  <c r="D107" i="25"/>
  <c r="D108" i="25"/>
  <c r="D109" i="25"/>
  <c r="D110" i="25"/>
  <c r="D111" i="25"/>
  <c r="D112" i="25"/>
  <c r="D113" i="25"/>
  <c r="D114" i="25"/>
  <c r="D115" i="25"/>
  <c r="D116" i="25"/>
  <c r="D117" i="25"/>
  <c r="D118" i="25"/>
  <c r="D119" i="25"/>
  <c r="D84" i="25"/>
  <c r="D83" i="25"/>
  <c r="D73" i="25"/>
  <c r="D74" i="25"/>
  <c r="D75" i="25"/>
  <c r="D76" i="25"/>
  <c r="D77" i="25"/>
  <c r="D78" i="25"/>
  <c r="D79" i="25"/>
  <c r="D80" i="25"/>
  <c r="D81" i="25"/>
  <c r="D82" i="25"/>
  <c r="D72" i="25"/>
  <c r="H57" i="25"/>
  <c r="G137" i="21" l="1"/>
  <c r="G141" i="21"/>
  <c r="K24" i="21"/>
  <c r="L24" i="21" s="1"/>
  <c r="Q37" i="56"/>
  <c r="Q26" i="56"/>
  <c r="Q35" i="56"/>
  <c r="Q36" i="56"/>
  <c r="Q47" i="56"/>
  <c r="Q15" i="56"/>
  <c r="Q27" i="56"/>
  <c r="Q45" i="56"/>
  <c r="Q25" i="56"/>
  <c r="Q16" i="56"/>
  <c r="Q9" i="56"/>
  <c r="H45" i="56"/>
  <c r="I45" i="56" s="1"/>
  <c r="R45" i="56" s="1"/>
  <c r="H9" i="56"/>
  <c r="H35" i="56"/>
  <c r="H8" i="56"/>
  <c r="H25" i="56"/>
  <c r="H39" i="56"/>
  <c r="H49" i="56"/>
  <c r="H42" i="56"/>
  <c r="H52" i="56"/>
  <c r="H12" i="56"/>
  <c r="I12" i="56" s="1"/>
  <c r="R12" i="56" s="1"/>
  <c r="H29" i="56"/>
  <c r="H38" i="56"/>
  <c r="H48" i="56"/>
  <c r="I36" i="56"/>
  <c r="R36" i="56" s="1"/>
  <c r="I46" i="56"/>
  <c r="I16" i="56"/>
  <c r="R16" i="56" s="1"/>
  <c r="I26" i="56"/>
  <c r="I35" i="56"/>
  <c r="H22" i="56"/>
  <c r="H32" i="56"/>
  <c r="H11" i="56"/>
  <c r="H21" i="56"/>
  <c r="H17" i="56"/>
  <c r="H31" i="56"/>
  <c r="H27" i="56"/>
  <c r="H41" i="56"/>
  <c r="H37" i="56"/>
  <c r="H51" i="56"/>
  <c r="H47" i="56"/>
  <c r="H15" i="56"/>
  <c r="H19" i="56"/>
  <c r="H18" i="56"/>
  <c r="H28" i="56"/>
  <c r="H10" i="56"/>
  <c r="H20" i="56"/>
  <c r="H30" i="56"/>
  <c r="H40" i="56"/>
  <c r="H50" i="56"/>
  <c r="E72" i="25"/>
  <c r="E84" i="25"/>
  <c r="E108" i="25"/>
  <c r="I13" i="28"/>
  <c r="E13" i="28"/>
  <c r="D16" i="36"/>
  <c r="H16" i="36"/>
  <c r="E96" i="25"/>
  <c r="L42" i="25" s="1"/>
  <c r="B66" i="26"/>
  <c r="D66" i="26"/>
  <c r="I66" i="26"/>
  <c r="H66" i="26"/>
  <c r="I63" i="26"/>
  <c r="H63" i="26"/>
  <c r="D63" i="26"/>
  <c r="B63" i="26"/>
  <c r="F49" i="49"/>
  <c r="F48" i="49"/>
  <c r="F47" i="49"/>
  <c r="F46" i="49"/>
  <c r="F43" i="49"/>
  <c r="F44" i="49"/>
  <c r="F45" i="49"/>
  <c r="M11" i="49"/>
  <c r="J11" i="49"/>
  <c r="L11" i="49" s="1"/>
  <c r="K11" i="49" s="1"/>
  <c r="I11" i="49"/>
  <c r="M10" i="49"/>
  <c r="J10" i="49"/>
  <c r="L10" i="49" s="1"/>
  <c r="K10" i="49" s="1"/>
  <c r="I10" i="49"/>
  <c r="F57" i="49"/>
  <c r="F55" i="49"/>
  <c r="F42" i="49"/>
  <c r="F41" i="49"/>
  <c r="F40" i="49"/>
  <c r="F39" i="49"/>
  <c r="F38" i="49"/>
  <c r="F37" i="49"/>
  <c r="F36" i="49"/>
  <c r="F35" i="49"/>
  <c r="F34" i="49"/>
  <c r="F33" i="49"/>
  <c r="E19" i="21"/>
  <c r="G19" i="21" s="1"/>
  <c r="I19" i="21" s="1"/>
  <c r="K19" i="21" s="1"/>
  <c r="BE25" i="32"/>
  <c r="BF25" i="32"/>
  <c r="BG25" i="32"/>
  <c r="BH25" i="32"/>
  <c r="BI25" i="32"/>
  <c r="BJ25" i="32"/>
  <c r="BK25" i="32"/>
  <c r="BL25" i="32"/>
  <c r="BM25" i="32"/>
  <c r="BN25" i="32"/>
  <c r="BO25" i="32"/>
  <c r="BD25" i="32"/>
  <c r="AR25" i="32"/>
  <c r="AS25" i="32"/>
  <c r="AT25" i="32"/>
  <c r="AU25" i="32"/>
  <c r="AV25" i="32"/>
  <c r="AW25" i="32"/>
  <c r="AX25" i="32"/>
  <c r="AY25" i="32"/>
  <c r="AZ25" i="32"/>
  <c r="BA25" i="32"/>
  <c r="BB25" i="32"/>
  <c r="AQ25" i="32"/>
  <c r="AO25" i="32"/>
  <c r="AE25" i="32"/>
  <c r="AF25" i="32"/>
  <c r="AG25" i="32"/>
  <c r="AH25" i="32"/>
  <c r="AI25" i="32"/>
  <c r="AJ25" i="32"/>
  <c r="AK25" i="32"/>
  <c r="AL25" i="32"/>
  <c r="AM25" i="32"/>
  <c r="AN25" i="32"/>
  <c r="AD25" i="32"/>
  <c r="BE24" i="32"/>
  <c r="BF24" i="32"/>
  <c r="BG24" i="32"/>
  <c r="BH24" i="32"/>
  <c r="BI24" i="32"/>
  <c r="BJ24" i="32"/>
  <c r="BK24" i="32"/>
  <c r="BL24" i="32"/>
  <c r="BM24" i="32"/>
  <c r="BN24" i="32"/>
  <c r="BO24" i="32"/>
  <c r="BD24" i="32"/>
  <c r="AR24" i="32"/>
  <c r="AS24" i="32"/>
  <c r="AT24" i="32"/>
  <c r="AU24" i="32"/>
  <c r="AV24" i="32"/>
  <c r="AW24" i="32"/>
  <c r="AX24" i="32"/>
  <c r="AY24" i="32"/>
  <c r="AZ24" i="32"/>
  <c r="BA24" i="32"/>
  <c r="BB24" i="32"/>
  <c r="AQ24" i="32"/>
  <c r="AO24" i="32"/>
  <c r="AE24" i="32"/>
  <c r="AF24" i="32"/>
  <c r="AG24" i="32"/>
  <c r="AH24" i="32"/>
  <c r="AI24" i="32"/>
  <c r="AJ24" i="32"/>
  <c r="AK24" i="32"/>
  <c r="AL24" i="32"/>
  <c r="AM24" i="32"/>
  <c r="AN24" i="32"/>
  <c r="AD24" i="32"/>
  <c r="E77" i="26"/>
  <c r="E76" i="26"/>
  <c r="K77" i="26"/>
  <c r="J77" i="26"/>
  <c r="I77" i="26"/>
  <c r="H77" i="26"/>
  <c r="K76" i="26"/>
  <c r="J76" i="26"/>
  <c r="I76" i="26"/>
  <c r="H76" i="26"/>
  <c r="K75" i="26"/>
  <c r="J75" i="26"/>
  <c r="I75" i="26"/>
  <c r="H75" i="26"/>
  <c r="D44" i="26"/>
  <c r="D45" i="26"/>
  <c r="D46" i="26"/>
  <c r="D47" i="26"/>
  <c r="D48" i="26"/>
  <c r="D49" i="26"/>
  <c r="D43" i="26"/>
  <c r="F36" i="51"/>
  <c r="E21" i="50"/>
  <c r="E22" i="50"/>
  <c r="E20" i="50"/>
  <c r="E23" i="50"/>
  <c r="E24" i="50"/>
  <c r="E25" i="50"/>
  <c r="E26" i="50"/>
  <c r="E27" i="50"/>
  <c r="E28" i="50"/>
  <c r="E19" i="50"/>
  <c r="F34" i="51"/>
  <c r="F29" i="51"/>
  <c r="F28" i="51"/>
  <c r="F27" i="51"/>
  <c r="F26" i="51"/>
  <c r="F25" i="51"/>
  <c r="F24" i="51"/>
  <c r="F23" i="51"/>
  <c r="F22" i="51"/>
  <c r="F21" i="51"/>
  <c r="F20" i="51"/>
  <c r="F6" i="51"/>
  <c r="F5" i="51"/>
  <c r="G16" i="36" l="1"/>
  <c r="L43" i="25"/>
  <c r="E16" i="36"/>
  <c r="L41" i="25"/>
  <c r="C13" i="28"/>
  <c r="L40" i="25"/>
  <c r="R26" i="56"/>
  <c r="R35" i="56"/>
  <c r="I8" i="56"/>
  <c r="R8" i="56" s="1"/>
  <c r="R46" i="56"/>
  <c r="I48" i="56"/>
  <c r="R48" i="56" s="1"/>
  <c r="I38" i="56"/>
  <c r="R38" i="56" s="1"/>
  <c r="I29" i="56"/>
  <c r="R29" i="56" s="1"/>
  <c r="I49" i="56"/>
  <c r="R49" i="56" s="1"/>
  <c r="I39" i="56"/>
  <c r="R39" i="56" s="1"/>
  <c r="I52" i="56"/>
  <c r="R52" i="56" s="1"/>
  <c r="I25" i="56"/>
  <c r="R25" i="56" s="1"/>
  <c r="I9" i="56"/>
  <c r="I42" i="56"/>
  <c r="R42" i="56" s="1"/>
  <c r="I40" i="56"/>
  <c r="R40" i="56" s="1"/>
  <c r="I18" i="56"/>
  <c r="R18" i="56" s="1"/>
  <c r="I15" i="56"/>
  <c r="R15" i="56" s="1"/>
  <c r="I41" i="56"/>
  <c r="R41" i="56" s="1"/>
  <c r="I21" i="56"/>
  <c r="R21" i="56" s="1"/>
  <c r="I30" i="56"/>
  <c r="R30" i="56" s="1"/>
  <c r="I47" i="56"/>
  <c r="R47" i="56" s="1"/>
  <c r="I27" i="56"/>
  <c r="R27" i="56" s="1"/>
  <c r="I20" i="56"/>
  <c r="R20" i="56" s="1"/>
  <c r="I51" i="56"/>
  <c r="R51" i="56" s="1"/>
  <c r="I31" i="56"/>
  <c r="R31" i="56" s="1"/>
  <c r="I11" i="56"/>
  <c r="R11" i="56" s="1"/>
  <c r="I32" i="56"/>
  <c r="R32" i="56" s="1"/>
  <c r="I50" i="56"/>
  <c r="R50" i="56" s="1"/>
  <c r="I10" i="56"/>
  <c r="R10" i="56" s="1"/>
  <c r="I28" i="56"/>
  <c r="R28" i="56" s="1"/>
  <c r="I19" i="56"/>
  <c r="R19" i="56" s="1"/>
  <c r="I37" i="56"/>
  <c r="R37" i="56" s="1"/>
  <c r="I17" i="56"/>
  <c r="R17" i="56" s="1"/>
  <c r="I22" i="56"/>
  <c r="R22" i="56" s="1"/>
  <c r="F51" i="49"/>
  <c r="F56" i="49" s="1"/>
  <c r="F58" i="49" s="1"/>
  <c r="G98" i="18" s="1"/>
  <c r="E49" i="26" s="1"/>
  <c r="F49" i="26" s="1"/>
  <c r="H49" i="26" s="1"/>
  <c r="G13" i="28"/>
  <c r="F16" i="36"/>
  <c r="AP24" i="32"/>
  <c r="BC24" i="32"/>
  <c r="BP24" i="32"/>
  <c r="BC25" i="32"/>
  <c r="BP25" i="32"/>
  <c r="AP25" i="32"/>
  <c r="E29" i="50"/>
  <c r="E31" i="50" s="1"/>
  <c r="G96" i="18" s="1"/>
  <c r="F30" i="51"/>
  <c r="F35" i="51" s="1"/>
  <c r="F37" i="51" s="1"/>
  <c r="G97" i="18" s="1"/>
  <c r="E48" i="26" s="1"/>
  <c r="F48" i="26" s="1"/>
  <c r="F7" i="51"/>
  <c r="E32" i="46"/>
  <c r="E112" i="47"/>
  <c r="E122" i="48"/>
  <c r="E125" i="48"/>
  <c r="E126" i="48"/>
  <c r="E127" i="48"/>
  <c r="E110" i="47"/>
  <c r="E111" i="47"/>
  <c r="E36" i="45"/>
  <c r="E35" i="45"/>
  <c r="D22" i="26"/>
  <c r="D77" i="26"/>
  <c r="F77" i="26" s="1"/>
  <c r="L77" i="26" s="1"/>
  <c r="D76" i="26"/>
  <c r="F76" i="26" s="1"/>
  <c r="L76" i="26" s="1"/>
  <c r="D75" i="26"/>
  <c r="B68" i="26"/>
  <c r="B69" i="26"/>
  <c r="B70" i="26"/>
  <c r="B71" i="26"/>
  <c r="B72" i="26"/>
  <c r="B73" i="26"/>
  <c r="B74" i="26"/>
  <c r="B75" i="26"/>
  <c r="B76" i="26"/>
  <c r="B77" i="26"/>
  <c r="B50" i="26"/>
  <c r="B51" i="26"/>
  <c r="B52" i="26"/>
  <c r="B53" i="26"/>
  <c r="B54" i="26"/>
  <c r="B55" i="26"/>
  <c r="B56" i="26"/>
  <c r="B57" i="26"/>
  <c r="B58" i="26"/>
  <c r="B59" i="26"/>
  <c r="B60" i="26"/>
  <c r="B61" i="26"/>
  <c r="B62" i="26"/>
  <c r="B64" i="26"/>
  <c r="B65" i="26"/>
  <c r="B67" i="26"/>
  <c r="B22" i="26"/>
  <c r="F23" i="18"/>
  <c r="H6" i="25"/>
  <c r="H18" i="25"/>
  <c r="H30" i="25"/>
  <c r="H42" i="25"/>
  <c r="C122" i="21"/>
  <c r="C123" i="21" s="1"/>
  <c r="C124" i="21" s="1"/>
  <c r="C125" i="21" s="1"/>
  <c r="D121" i="21"/>
  <c r="C18" i="21" s="1"/>
  <c r="E92" i="21"/>
  <c r="F92" i="21" s="1"/>
  <c r="C15" i="21" s="1"/>
  <c r="D87" i="21"/>
  <c r="E87" i="21" s="1"/>
  <c r="F87" i="21" s="1"/>
  <c r="C14" i="21" s="1"/>
  <c r="H113" i="21"/>
  <c r="I6" i="49"/>
  <c r="I7" i="49"/>
  <c r="I8" i="49"/>
  <c r="I9" i="49"/>
  <c r="I12" i="49"/>
  <c r="I13" i="49"/>
  <c r="I14" i="49"/>
  <c r="I15" i="49"/>
  <c r="I16" i="49"/>
  <c r="I17" i="49"/>
  <c r="I18" i="49"/>
  <c r="I19" i="49"/>
  <c r="I20" i="49"/>
  <c r="I21" i="49"/>
  <c r="I22" i="49"/>
  <c r="I23" i="49"/>
  <c r="I24" i="49"/>
  <c r="I5" i="49"/>
  <c r="E106" i="21"/>
  <c r="E107" i="21" s="1"/>
  <c r="E108" i="21" s="1"/>
  <c r="E109" i="21" s="1"/>
  <c r="D105" i="21"/>
  <c r="F105" i="21" s="1"/>
  <c r="D130" i="21"/>
  <c r="D97" i="21"/>
  <c r="C13" i="21" s="1"/>
  <c r="L14" i="21"/>
  <c r="L15" i="21"/>
  <c r="J14" i="21"/>
  <c r="J15" i="21"/>
  <c r="H14" i="21"/>
  <c r="H15" i="21"/>
  <c r="F7" i="18"/>
  <c r="F8" i="18"/>
  <c r="F9" i="18"/>
  <c r="F10" i="18"/>
  <c r="F11" i="18"/>
  <c r="F12" i="18"/>
  <c r="F13" i="18"/>
  <c r="F14" i="18"/>
  <c r="F15" i="18"/>
  <c r="F16" i="18"/>
  <c r="F17" i="18"/>
  <c r="F18" i="18"/>
  <c r="F19" i="18"/>
  <c r="F20" i="18"/>
  <c r="F21" i="18"/>
  <c r="F22" i="18"/>
  <c r="F24" i="18"/>
  <c r="F25" i="18"/>
  <c r="G25" i="18" s="1"/>
  <c r="H25" i="18" s="1"/>
  <c r="F26" i="18"/>
  <c r="F27" i="18"/>
  <c r="F28" i="18"/>
  <c r="F29" i="18"/>
  <c r="F30" i="18"/>
  <c r="F31" i="18"/>
  <c r="F32" i="18"/>
  <c r="F33" i="18"/>
  <c r="F34" i="18"/>
  <c r="F35" i="18"/>
  <c r="F36" i="18"/>
  <c r="F37" i="18"/>
  <c r="F38" i="18"/>
  <c r="F39" i="18"/>
  <c r="F40" i="18"/>
  <c r="F41" i="18"/>
  <c r="F42" i="18"/>
  <c r="F6" i="18"/>
  <c r="G6" i="18" s="1"/>
  <c r="H6" i="18" s="1"/>
  <c r="R9" i="56" l="1"/>
  <c r="I6" i="18"/>
  <c r="J6" i="18" s="1"/>
  <c r="E107" i="18"/>
  <c r="G39" i="18"/>
  <c r="H39" i="18" s="1"/>
  <c r="I39" i="18" s="1"/>
  <c r="J39" i="18" s="1"/>
  <c r="E84" i="18"/>
  <c r="G35" i="18"/>
  <c r="H35" i="18" s="1"/>
  <c r="E80" i="18"/>
  <c r="G31" i="18"/>
  <c r="H31" i="18" s="1"/>
  <c r="I31" i="18" s="1"/>
  <c r="J31" i="18" s="1"/>
  <c r="E76" i="18"/>
  <c r="G76" i="18" s="1"/>
  <c r="G27" i="18"/>
  <c r="H27" i="18" s="1"/>
  <c r="E72" i="18"/>
  <c r="G72" i="18" s="1"/>
  <c r="G22" i="18"/>
  <c r="H22" i="18" s="1"/>
  <c r="E64" i="18"/>
  <c r="G18" i="18"/>
  <c r="H18" i="18" s="1"/>
  <c r="I18" i="18" s="1"/>
  <c r="J18" i="18" s="1"/>
  <c r="E59" i="18"/>
  <c r="G59" i="18" s="1"/>
  <c r="G14" i="18"/>
  <c r="H14" i="18" s="1"/>
  <c r="I14" i="18" s="1"/>
  <c r="J14" i="18" s="1"/>
  <c r="E133" i="18" s="1"/>
  <c r="E55" i="18"/>
  <c r="G55" i="18" s="1"/>
  <c r="G10" i="18"/>
  <c r="H10" i="18" s="1"/>
  <c r="I10" i="18" s="1"/>
  <c r="J10" i="18" s="1"/>
  <c r="E51" i="18"/>
  <c r="G51" i="18" s="1"/>
  <c r="G42" i="18"/>
  <c r="H42" i="18" s="1"/>
  <c r="E87" i="18"/>
  <c r="G87" i="18" s="1"/>
  <c r="G38" i="18"/>
  <c r="H38" i="18" s="1"/>
  <c r="I38" i="18" s="1"/>
  <c r="J38" i="18" s="1"/>
  <c r="E83" i="18"/>
  <c r="G83" i="18" s="1"/>
  <c r="G34" i="18"/>
  <c r="H34" i="18" s="1"/>
  <c r="E79" i="18"/>
  <c r="G30" i="18"/>
  <c r="H30" i="18" s="1"/>
  <c r="I30" i="18" s="1"/>
  <c r="J30" i="18" s="1"/>
  <c r="E75" i="18"/>
  <c r="G75" i="18" s="1"/>
  <c r="G26" i="18"/>
  <c r="H26" i="18" s="1"/>
  <c r="E71" i="18"/>
  <c r="G21" i="18"/>
  <c r="H21" i="18" s="1"/>
  <c r="I21" i="18" s="1"/>
  <c r="J21" i="18" s="1"/>
  <c r="E136" i="18" s="1"/>
  <c r="E62" i="18"/>
  <c r="G62" i="18" s="1"/>
  <c r="G17" i="18"/>
  <c r="H17" i="18" s="1"/>
  <c r="I17" i="18" s="1"/>
  <c r="J17" i="18" s="1"/>
  <c r="E58" i="18"/>
  <c r="G13" i="18"/>
  <c r="H13" i="18" s="1"/>
  <c r="I13" i="18" s="1"/>
  <c r="J13" i="18" s="1"/>
  <c r="E132" i="18" s="1"/>
  <c r="E54" i="18"/>
  <c r="G54" i="18" s="1"/>
  <c r="G9" i="18"/>
  <c r="H9" i="18" s="1"/>
  <c r="E50" i="18"/>
  <c r="G50" i="18" s="1"/>
  <c r="G41" i="18"/>
  <c r="H41" i="18" s="1"/>
  <c r="I41" i="18" s="1"/>
  <c r="J41" i="18" s="1"/>
  <c r="E86" i="18"/>
  <c r="G86" i="18" s="1"/>
  <c r="G37" i="18"/>
  <c r="H37" i="18" s="1"/>
  <c r="I37" i="18" s="1"/>
  <c r="J37" i="18" s="1"/>
  <c r="E82" i="18"/>
  <c r="G33" i="18"/>
  <c r="H33" i="18" s="1"/>
  <c r="E78" i="18"/>
  <c r="G78" i="18" s="1"/>
  <c r="G29" i="18"/>
  <c r="H29" i="18" s="1"/>
  <c r="E74" i="18"/>
  <c r="I25" i="18"/>
  <c r="J25" i="18" s="1"/>
  <c r="E138" i="18" s="1"/>
  <c r="E115" i="18"/>
  <c r="G20" i="18"/>
  <c r="H20" i="18" s="1"/>
  <c r="I20" i="18" s="1"/>
  <c r="J20" i="18" s="1"/>
  <c r="E61" i="18"/>
  <c r="G16" i="18"/>
  <c r="H16" i="18" s="1"/>
  <c r="I16" i="18" s="1"/>
  <c r="J16" i="18" s="1"/>
  <c r="E135" i="18" s="1"/>
  <c r="E57" i="18"/>
  <c r="G57" i="18" s="1"/>
  <c r="G12" i="18"/>
  <c r="H12" i="18" s="1"/>
  <c r="E53" i="18"/>
  <c r="G8" i="18"/>
  <c r="H8" i="18" s="1"/>
  <c r="E49" i="18"/>
  <c r="G23" i="18"/>
  <c r="H23" i="18" s="1"/>
  <c r="I23" i="18" s="1"/>
  <c r="J23" i="18" s="1"/>
  <c r="E63" i="18"/>
  <c r="G63" i="18" s="1"/>
  <c r="E22" i="26" s="1"/>
  <c r="F22" i="26" s="1"/>
  <c r="G40" i="18"/>
  <c r="H40" i="18" s="1"/>
  <c r="I40" i="18" s="1"/>
  <c r="J40" i="18" s="1"/>
  <c r="E85" i="18"/>
  <c r="G85" i="18" s="1"/>
  <c r="G36" i="18"/>
  <c r="H36" i="18" s="1"/>
  <c r="E81" i="18"/>
  <c r="G81" i="18" s="1"/>
  <c r="G32" i="18"/>
  <c r="H32" i="18" s="1"/>
  <c r="E77" i="18"/>
  <c r="G77" i="18" s="1"/>
  <c r="G28" i="18"/>
  <c r="H28" i="18" s="1"/>
  <c r="E73" i="18"/>
  <c r="G73" i="18" s="1"/>
  <c r="G24" i="18"/>
  <c r="H24" i="18" s="1"/>
  <c r="I24" i="18" s="1"/>
  <c r="J24" i="18" s="1"/>
  <c r="E65" i="18"/>
  <c r="G19" i="18"/>
  <c r="H19" i="18" s="1"/>
  <c r="E60" i="18"/>
  <c r="G15" i="18"/>
  <c r="H15" i="18" s="1"/>
  <c r="I15" i="18" s="1"/>
  <c r="J15" i="18" s="1"/>
  <c r="E134" i="18" s="1"/>
  <c r="E56" i="18"/>
  <c r="G56" i="18" s="1"/>
  <c r="G11" i="18"/>
  <c r="H11" i="18" s="1"/>
  <c r="I11" i="18" s="1"/>
  <c r="J11" i="18" s="1"/>
  <c r="E52" i="18"/>
  <c r="G52" i="18" s="1"/>
  <c r="G7" i="18"/>
  <c r="H7" i="18" s="1"/>
  <c r="E48" i="18"/>
  <c r="G48" i="18" s="1"/>
  <c r="J48" i="26"/>
  <c r="I48" i="26"/>
  <c r="K48" i="26"/>
  <c r="L48" i="26"/>
  <c r="H48" i="26"/>
  <c r="J49" i="26"/>
  <c r="L49" i="26"/>
  <c r="I49" i="26"/>
  <c r="K49" i="26"/>
  <c r="E47" i="26"/>
  <c r="F47" i="26" s="1"/>
  <c r="D15" i="21"/>
  <c r="F25" i="32"/>
  <c r="J25" i="32"/>
  <c r="N25" i="32"/>
  <c r="H25" i="32"/>
  <c r="D25" i="32"/>
  <c r="I25" i="32"/>
  <c r="G25" i="32"/>
  <c r="K25" i="32"/>
  <c r="O25" i="32"/>
  <c r="L25" i="32"/>
  <c r="E25" i="32"/>
  <c r="M25" i="32"/>
  <c r="D14" i="21"/>
  <c r="F24" i="32"/>
  <c r="J24" i="32"/>
  <c r="N24" i="32"/>
  <c r="D24" i="32"/>
  <c r="E24" i="32"/>
  <c r="M24" i="32"/>
  <c r="G24" i="32"/>
  <c r="K24" i="32"/>
  <c r="O24" i="32"/>
  <c r="H24" i="32"/>
  <c r="L24" i="32"/>
  <c r="I24" i="32"/>
  <c r="D123" i="21"/>
  <c r="G18" i="21" s="1"/>
  <c r="D122" i="21"/>
  <c r="E18" i="21" s="1"/>
  <c r="D93" i="21"/>
  <c r="E93" i="21" s="1"/>
  <c r="F93" i="21" s="1"/>
  <c r="E15" i="21" s="1"/>
  <c r="D88" i="21"/>
  <c r="G105" i="21"/>
  <c r="C16" i="21" s="1"/>
  <c r="G114" i="21"/>
  <c r="D106" i="21"/>
  <c r="D131" i="21"/>
  <c r="E130" i="21"/>
  <c r="E129" i="21"/>
  <c r="C98" i="21"/>
  <c r="C99" i="21" s="1"/>
  <c r="C100" i="21" s="1"/>
  <c r="G65" i="18"/>
  <c r="G60" i="18"/>
  <c r="G64" i="18"/>
  <c r="G58" i="18"/>
  <c r="E70" i="18"/>
  <c r="G70" i="18" s="1"/>
  <c r="G84" i="18"/>
  <c r="G80" i="18"/>
  <c r="G82" i="18"/>
  <c r="G74" i="18"/>
  <c r="E47" i="18"/>
  <c r="G47" i="18" s="1"/>
  <c r="G61" i="18"/>
  <c r="G53" i="18"/>
  <c r="G79" i="18"/>
  <c r="G71" i="18"/>
  <c r="C68" i="17"/>
  <c r="E67" i="17"/>
  <c r="E68" i="17"/>
  <c r="E69" i="17"/>
  <c r="E70" i="17"/>
  <c r="E71" i="17"/>
  <c r="D67" i="17"/>
  <c r="F67" i="17" s="1"/>
  <c r="G67" i="17" s="1"/>
  <c r="C9" i="17" s="1"/>
  <c r="D9" i="17" s="1"/>
  <c r="D68" i="17"/>
  <c r="D69" i="17"/>
  <c r="D70" i="17"/>
  <c r="D71" i="17"/>
  <c r="C7" i="17"/>
  <c r="D7" i="17" s="1"/>
  <c r="D59" i="17"/>
  <c r="E59" i="17" s="1"/>
  <c r="F59" i="17" s="1"/>
  <c r="D52" i="17"/>
  <c r="E52" i="17" s="1"/>
  <c r="F52" i="17" s="1"/>
  <c r="E8" i="17" s="1"/>
  <c r="F8" i="17" s="1"/>
  <c r="E51" i="17"/>
  <c r="F51" i="17" s="1"/>
  <c r="C8" i="17" s="1"/>
  <c r="D8" i="17" s="1"/>
  <c r="C43" i="17"/>
  <c r="C44" i="17"/>
  <c r="C45" i="17"/>
  <c r="C46" i="17"/>
  <c r="C47" i="17"/>
  <c r="C35" i="17"/>
  <c r="C36" i="17"/>
  <c r="C37" i="17"/>
  <c r="C38" i="17"/>
  <c r="C39" i="17"/>
  <c r="C70" i="14"/>
  <c r="C71" i="14"/>
  <c r="C72" i="14"/>
  <c r="C73" i="14"/>
  <c r="C74" i="14"/>
  <c r="G28" i="12"/>
  <c r="G29" i="12"/>
  <c r="G30" i="12"/>
  <c r="G31" i="12"/>
  <c r="G27" i="12"/>
  <c r="G49" i="18"/>
  <c r="C17" i="14"/>
  <c r="C66" i="14" s="1"/>
  <c r="D24" i="15"/>
  <c r="F24" i="15" s="1"/>
  <c r="G24" i="15" s="1"/>
  <c r="M24" i="49"/>
  <c r="M23" i="49"/>
  <c r="M22" i="49"/>
  <c r="J24" i="49"/>
  <c r="L24" i="49" s="1"/>
  <c r="K24" i="49" s="1"/>
  <c r="J23" i="49"/>
  <c r="L23" i="49" s="1"/>
  <c r="K23" i="49" s="1"/>
  <c r="J22" i="49"/>
  <c r="M21" i="49"/>
  <c r="J21" i="49"/>
  <c r="L21" i="49" s="1"/>
  <c r="K21" i="49" s="1"/>
  <c r="M20" i="49"/>
  <c r="J20" i="49"/>
  <c r="L20" i="49" s="1"/>
  <c r="K20" i="49" s="1"/>
  <c r="M19" i="49"/>
  <c r="J19" i="49"/>
  <c r="L19" i="49" s="1"/>
  <c r="K19" i="49" s="1"/>
  <c r="M18" i="49"/>
  <c r="J18" i="49"/>
  <c r="L18" i="49" s="1"/>
  <c r="K18" i="49" s="1"/>
  <c r="M17" i="49"/>
  <c r="J17" i="49"/>
  <c r="L17" i="49" s="1"/>
  <c r="K17" i="49" s="1"/>
  <c r="M16" i="49"/>
  <c r="J16" i="49"/>
  <c r="L16" i="49" s="1"/>
  <c r="K16" i="49" s="1"/>
  <c r="M15" i="49"/>
  <c r="J15" i="49"/>
  <c r="L15" i="49" s="1"/>
  <c r="K15" i="49" s="1"/>
  <c r="M14" i="49"/>
  <c r="J14" i="49"/>
  <c r="L14" i="49" s="1"/>
  <c r="K14" i="49" s="1"/>
  <c r="M13" i="49"/>
  <c r="J13" i="49"/>
  <c r="L13" i="49" s="1"/>
  <c r="K13" i="49" s="1"/>
  <c r="M12" i="49"/>
  <c r="J12" i="49"/>
  <c r="L12" i="49" s="1"/>
  <c r="K12" i="49" s="1"/>
  <c r="M9" i="49"/>
  <c r="J9" i="49"/>
  <c r="L9" i="49" s="1"/>
  <c r="K9" i="49" s="1"/>
  <c r="M8" i="49"/>
  <c r="J8" i="49"/>
  <c r="L8" i="49" s="1"/>
  <c r="K8" i="49" s="1"/>
  <c r="M7" i="49"/>
  <c r="J7" i="49"/>
  <c r="L7" i="49" s="1"/>
  <c r="K7" i="49" s="1"/>
  <c r="M6" i="49"/>
  <c r="J6" i="49"/>
  <c r="L6" i="49" s="1"/>
  <c r="K6" i="49" s="1"/>
  <c r="M5" i="49"/>
  <c r="J5" i="49"/>
  <c r="D115" i="21" l="1"/>
  <c r="E115" i="21" s="1"/>
  <c r="C131" i="21"/>
  <c r="D113" i="21"/>
  <c r="E113" i="21" s="1"/>
  <c r="I113" i="21" s="1"/>
  <c r="J113" i="21" s="1"/>
  <c r="C17" i="21" s="1"/>
  <c r="C129" i="21"/>
  <c r="F129" i="21" s="1"/>
  <c r="C21" i="21" s="1"/>
  <c r="D114" i="21"/>
  <c r="E114" i="21" s="1"/>
  <c r="C130" i="21"/>
  <c r="F130" i="21" s="1"/>
  <c r="E21" i="21" s="1"/>
  <c r="I7" i="18"/>
  <c r="J7" i="18" s="1"/>
  <c r="E108" i="18"/>
  <c r="I32" i="18"/>
  <c r="J32" i="18" s="1"/>
  <c r="E137" i="18" s="1"/>
  <c r="E113" i="18"/>
  <c r="I8" i="18"/>
  <c r="J8" i="18" s="1"/>
  <c r="E109" i="18"/>
  <c r="I33" i="18"/>
  <c r="J33" i="18" s="1"/>
  <c r="E114" i="18"/>
  <c r="G114" i="18" s="1"/>
  <c r="I27" i="18"/>
  <c r="J27" i="18" s="1"/>
  <c r="E122" i="18"/>
  <c r="G122" i="18" s="1"/>
  <c r="I35" i="18"/>
  <c r="J35" i="18" s="1"/>
  <c r="E140" i="18" s="1"/>
  <c r="E118" i="18"/>
  <c r="D117" i="21"/>
  <c r="E117" i="21" s="1"/>
  <c r="C133" i="21"/>
  <c r="C132" i="21"/>
  <c r="D116" i="21"/>
  <c r="E116" i="21" s="1"/>
  <c r="D60" i="17"/>
  <c r="D61" i="17" s="1"/>
  <c r="D62" i="17" s="1"/>
  <c r="D63" i="17" s="1"/>
  <c r="F68" i="17"/>
  <c r="G68" i="17" s="1"/>
  <c r="E9" i="17" s="1"/>
  <c r="F9" i="17" s="1"/>
  <c r="F15" i="21"/>
  <c r="U25" i="32"/>
  <c r="Y25" i="32"/>
  <c r="Q25" i="32"/>
  <c r="S25" i="32"/>
  <c r="W25" i="32"/>
  <c r="AA25" i="32"/>
  <c r="R25" i="32"/>
  <c r="V25" i="32"/>
  <c r="Z25" i="32"/>
  <c r="X25" i="32"/>
  <c r="AB25" i="32"/>
  <c r="T25" i="32"/>
  <c r="I19" i="18"/>
  <c r="J19" i="18" s="1"/>
  <c r="E112" i="18"/>
  <c r="I28" i="18"/>
  <c r="J28" i="18" s="1"/>
  <c r="E120" i="18"/>
  <c r="G120" i="18" s="1"/>
  <c r="E63" i="26" s="1"/>
  <c r="F63" i="26" s="1"/>
  <c r="I36" i="18"/>
  <c r="J36" i="18" s="1"/>
  <c r="E141" i="18" s="1"/>
  <c r="E119" i="18"/>
  <c r="I12" i="18"/>
  <c r="J12" i="18" s="1"/>
  <c r="E111" i="18"/>
  <c r="I29" i="18"/>
  <c r="J29" i="18" s="1"/>
  <c r="E139" i="18" s="1"/>
  <c r="E117" i="18"/>
  <c r="I9" i="18"/>
  <c r="J9" i="18" s="1"/>
  <c r="E110" i="18"/>
  <c r="I26" i="18"/>
  <c r="J26" i="18" s="1"/>
  <c r="E121" i="18"/>
  <c r="G121" i="18" s="1"/>
  <c r="I34" i="18"/>
  <c r="J34" i="18" s="1"/>
  <c r="E116" i="18"/>
  <c r="I42" i="18"/>
  <c r="J42" i="18" s="1"/>
  <c r="E124" i="18"/>
  <c r="I22" i="18"/>
  <c r="J22" i="18" s="1"/>
  <c r="E123" i="18"/>
  <c r="G123" i="18" s="1"/>
  <c r="E66" i="26" s="1"/>
  <c r="F66" i="26" s="1"/>
  <c r="K22" i="26"/>
  <c r="L22" i="26"/>
  <c r="J22" i="26"/>
  <c r="H22" i="26"/>
  <c r="I22" i="26"/>
  <c r="K47" i="26"/>
  <c r="H47" i="26"/>
  <c r="L47" i="26"/>
  <c r="J47" i="26"/>
  <c r="I47" i="26"/>
  <c r="P24" i="32"/>
  <c r="P25" i="32"/>
  <c r="D124" i="21"/>
  <c r="I18" i="21" s="1"/>
  <c r="D125" i="21"/>
  <c r="K18" i="21" s="1"/>
  <c r="E88" i="21"/>
  <c r="F88" i="21" s="1"/>
  <c r="E14" i="21" s="1"/>
  <c r="H114" i="21"/>
  <c r="D107" i="21"/>
  <c r="F106" i="21"/>
  <c r="G106" i="21" s="1"/>
  <c r="E16" i="21" s="1"/>
  <c r="G115" i="21"/>
  <c r="D99" i="21"/>
  <c r="G13" i="21" s="1"/>
  <c r="D98" i="21"/>
  <c r="E13" i="21" s="1"/>
  <c r="E131" i="21"/>
  <c r="D132" i="21"/>
  <c r="D100" i="21"/>
  <c r="I13" i="21" s="1"/>
  <c r="C101" i="21"/>
  <c r="D101" i="21" s="1"/>
  <c r="K13" i="21" s="1"/>
  <c r="C69" i="17"/>
  <c r="C70" i="17" s="1"/>
  <c r="C71" i="17" s="1"/>
  <c r="F71" i="17" s="1"/>
  <c r="G71" i="17" s="1"/>
  <c r="K9" i="17" s="1"/>
  <c r="L9" i="17" s="1"/>
  <c r="D53" i="17"/>
  <c r="G66" i="18"/>
  <c r="J25" i="49"/>
  <c r="C29" i="49" s="1"/>
  <c r="L22" i="49"/>
  <c r="K22" i="49" s="1"/>
  <c r="L5" i="49"/>
  <c r="K5" i="49" s="1"/>
  <c r="E60" i="17" l="1"/>
  <c r="F60" i="17" s="1"/>
  <c r="E7" i="17" s="1"/>
  <c r="F7" i="17" s="1"/>
  <c r="F70" i="17"/>
  <c r="G70" i="17" s="1"/>
  <c r="I9" i="17" s="1"/>
  <c r="J9" i="17" s="1"/>
  <c r="F14" i="21"/>
  <c r="U24" i="32"/>
  <c r="Y24" i="32"/>
  <c r="Q24" i="32"/>
  <c r="S24" i="32"/>
  <c r="W24" i="32"/>
  <c r="AA24" i="32"/>
  <c r="R24" i="32"/>
  <c r="V24" i="32"/>
  <c r="Z24" i="32"/>
  <c r="AB24" i="32"/>
  <c r="T24" i="32"/>
  <c r="X24" i="32"/>
  <c r="AC25" i="32"/>
  <c r="F131" i="21"/>
  <c r="G21" i="21" s="1"/>
  <c r="E61" i="17"/>
  <c r="F61" i="17" s="1"/>
  <c r="G7" i="17" s="1"/>
  <c r="H7" i="17" s="1"/>
  <c r="I114" i="21"/>
  <c r="J114" i="21" s="1"/>
  <c r="E17" i="21" s="1"/>
  <c r="K66" i="26"/>
  <c r="L66" i="26"/>
  <c r="J66" i="26"/>
  <c r="L63" i="26"/>
  <c r="K63" i="26"/>
  <c r="J63" i="26"/>
  <c r="F69" i="17"/>
  <c r="G69" i="17" s="1"/>
  <c r="G9" i="17" s="1"/>
  <c r="H9" i="17" s="1"/>
  <c r="D108" i="21"/>
  <c r="F107" i="21"/>
  <c r="G107" i="21" s="1"/>
  <c r="G16" i="21" s="1"/>
  <c r="H115" i="21"/>
  <c r="I115" i="21" s="1"/>
  <c r="J115" i="21" s="1"/>
  <c r="G17" i="21" s="1"/>
  <c r="G116" i="21"/>
  <c r="E132" i="21"/>
  <c r="F132" i="21" s="1"/>
  <c r="I21" i="21" s="1"/>
  <c r="D133" i="21"/>
  <c r="E133" i="21" s="1"/>
  <c r="F133" i="21" s="1"/>
  <c r="K21" i="21" s="1"/>
  <c r="E62" i="17"/>
  <c r="F62" i="17" s="1"/>
  <c r="I7" i="17" s="1"/>
  <c r="J7" i="17" s="1"/>
  <c r="E63" i="17"/>
  <c r="F63" i="17" s="1"/>
  <c r="K7" i="17" s="1"/>
  <c r="L7" i="17" s="1"/>
  <c r="D54" i="17"/>
  <c r="E53" i="17"/>
  <c r="F53" i="17" s="1"/>
  <c r="G8" i="17" s="1"/>
  <c r="H8" i="17" s="1"/>
  <c r="AC24" i="32" l="1"/>
  <c r="H116" i="21"/>
  <c r="I116" i="21" s="1"/>
  <c r="J116" i="21" s="1"/>
  <c r="I17" i="21" s="1"/>
  <c r="F108" i="21"/>
  <c r="G108" i="21" s="1"/>
  <c r="I16" i="21" s="1"/>
  <c r="D109" i="21"/>
  <c r="G117" i="21"/>
  <c r="H117" i="21" s="1"/>
  <c r="I117" i="21" s="1"/>
  <c r="E54" i="17"/>
  <c r="F54" i="17" s="1"/>
  <c r="I8" i="17" s="1"/>
  <c r="J8" i="17" s="1"/>
  <c r="D55" i="17"/>
  <c r="E55" i="17" s="1"/>
  <c r="F55" i="17" s="1"/>
  <c r="K8" i="17" s="1"/>
  <c r="L8" i="17" s="1"/>
  <c r="F109" i="21" l="1"/>
  <c r="G109" i="21" s="1"/>
  <c r="K16" i="21" s="1"/>
  <c r="J117" i="21"/>
  <c r="K17" i="21" s="1"/>
  <c r="E31" i="46"/>
  <c r="E121" i="48"/>
  <c r="E120" i="48"/>
  <c r="E119" i="48"/>
  <c r="E118" i="48"/>
  <c r="E128" i="48" l="1"/>
  <c r="E130" i="48" s="1"/>
  <c r="G94" i="18" s="1"/>
  <c r="E107" i="47"/>
  <c r="E108" i="47"/>
  <c r="E109" i="47"/>
  <c r="E31" i="45"/>
  <c r="E32" i="45"/>
  <c r="E33" i="45"/>
  <c r="E34" i="45"/>
  <c r="E30" i="45"/>
  <c r="I87" i="48"/>
  <c r="I88" i="48"/>
  <c r="I89" i="48"/>
  <c r="I90" i="48"/>
  <c r="I91" i="48"/>
  <c r="I86" i="48"/>
  <c r="H87" i="48"/>
  <c r="H88" i="48"/>
  <c r="H89" i="48"/>
  <c r="H90" i="48"/>
  <c r="H91" i="48"/>
  <c r="H86" i="48"/>
  <c r="C73" i="48"/>
  <c r="C87" i="48" s="1"/>
  <c r="C99" i="48" s="1"/>
  <c r="C109" i="48" s="1"/>
  <c r="C74" i="48"/>
  <c r="C88" i="48" s="1"/>
  <c r="C100" i="48" s="1"/>
  <c r="C110" i="48" s="1"/>
  <c r="C75" i="48"/>
  <c r="C89" i="48" s="1"/>
  <c r="C101" i="48" s="1"/>
  <c r="C111" i="48" s="1"/>
  <c r="C76" i="48"/>
  <c r="C90" i="48" s="1"/>
  <c r="C102" i="48" s="1"/>
  <c r="C112" i="48" s="1"/>
  <c r="C77" i="48"/>
  <c r="C91" i="48" s="1"/>
  <c r="C103" i="48" s="1"/>
  <c r="C113" i="48" s="1"/>
  <c r="C72" i="48"/>
  <c r="C86" i="48" s="1"/>
  <c r="C98" i="48" s="1"/>
  <c r="C108" i="48" s="1"/>
  <c r="B72" i="48"/>
  <c r="B86" i="48" s="1"/>
  <c r="B98" i="48" s="1"/>
  <c r="B108" i="48" s="1"/>
  <c r="B63" i="48"/>
  <c r="B64" i="48" s="1"/>
  <c r="B65" i="48" s="1"/>
  <c r="B66" i="48" s="1"/>
  <c r="B67" i="48" s="1"/>
  <c r="B77" i="48" s="1"/>
  <c r="B91" i="48" s="1"/>
  <c r="B103" i="48" s="1"/>
  <c r="B113" i="48" s="1"/>
  <c r="J24" i="48"/>
  <c r="K24" i="48" s="1"/>
  <c r="J25" i="48"/>
  <c r="K25" i="48" s="1"/>
  <c r="J26" i="48"/>
  <c r="K26" i="48" s="1"/>
  <c r="J27" i="48"/>
  <c r="K27" i="48" s="1"/>
  <c r="J28" i="48"/>
  <c r="K28" i="48" s="1"/>
  <c r="J29" i="48"/>
  <c r="K29" i="48" s="1"/>
  <c r="J30" i="48"/>
  <c r="K30" i="48" s="1"/>
  <c r="J31" i="48"/>
  <c r="K31" i="48" s="1"/>
  <c r="J32" i="48"/>
  <c r="K32" i="48" s="1"/>
  <c r="J33" i="48"/>
  <c r="K33" i="48" s="1"/>
  <c r="J34" i="48"/>
  <c r="K34" i="48" s="1"/>
  <c r="J35" i="48"/>
  <c r="K35" i="48" s="1"/>
  <c r="J36" i="48"/>
  <c r="K36" i="48" s="1"/>
  <c r="J37" i="48"/>
  <c r="J38" i="48"/>
  <c r="K38" i="48" s="1"/>
  <c r="J39" i="48"/>
  <c r="K39" i="48" s="1"/>
  <c r="J40" i="48"/>
  <c r="K40" i="48" s="1"/>
  <c r="J41" i="48"/>
  <c r="K41" i="48" s="1"/>
  <c r="J42" i="48"/>
  <c r="K42" i="48" s="1"/>
  <c r="J43" i="48"/>
  <c r="K43" i="48" s="1"/>
  <c r="J44" i="48"/>
  <c r="K44" i="48" s="1"/>
  <c r="J45" i="48"/>
  <c r="K45" i="48" s="1"/>
  <c r="J46" i="48"/>
  <c r="K46" i="48" s="1"/>
  <c r="J47" i="48"/>
  <c r="K47" i="48" s="1"/>
  <c r="J48" i="48"/>
  <c r="K48" i="48" s="1"/>
  <c r="J49" i="48"/>
  <c r="K49" i="48" s="1"/>
  <c r="J50" i="48"/>
  <c r="K50" i="48" s="1"/>
  <c r="J51" i="48"/>
  <c r="K51" i="48" s="1"/>
  <c r="J52" i="48"/>
  <c r="K52" i="48" s="1"/>
  <c r="J53" i="48"/>
  <c r="K53" i="48" s="1"/>
  <c r="J54" i="48"/>
  <c r="J55" i="48"/>
  <c r="K55" i="48" s="1"/>
  <c r="J56" i="48"/>
  <c r="K56" i="48" s="1"/>
  <c r="J57" i="48"/>
  <c r="K57" i="48" s="1"/>
  <c r="J18" i="48"/>
  <c r="K18" i="48" s="1"/>
  <c r="J19" i="48"/>
  <c r="K19" i="48" s="1"/>
  <c r="J20" i="48"/>
  <c r="K20" i="48" s="1"/>
  <c r="J21" i="48"/>
  <c r="K21" i="48" s="1"/>
  <c r="J22" i="48"/>
  <c r="K22" i="48" s="1"/>
  <c r="J23" i="48"/>
  <c r="K23" i="48" s="1"/>
  <c r="J17" i="48"/>
  <c r="K17" i="48" s="1"/>
  <c r="F56" i="48"/>
  <c r="D67" i="48" s="1"/>
  <c r="E91" i="48" s="1"/>
  <c r="F91" i="48" s="1"/>
  <c r="K54" i="48"/>
  <c r="F52" i="48"/>
  <c r="F49" i="48"/>
  <c r="F46" i="48"/>
  <c r="F43" i="48"/>
  <c r="F41" i="48"/>
  <c r="F39" i="48"/>
  <c r="K37" i="48"/>
  <c r="F37" i="48"/>
  <c r="F32" i="48"/>
  <c r="F30" i="48"/>
  <c r="F24" i="48"/>
  <c r="D63" i="48" s="1"/>
  <c r="E87" i="48" s="1"/>
  <c r="F87" i="48" s="1"/>
  <c r="F17" i="48"/>
  <c r="D62" i="48" s="1"/>
  <c r="E86" i="48" s="1"/>
  <c r="F86" i="48" s="1"/>
  <c r="E37" i="45" l="1"/>
  <c r="E39" i="45" s="1"/>
  <c r="G92" i="18" s="1"/>
  <c r="E43" i="26" s="1"/>
  <c r="F43" i="26" s="1"/>
  <c r="E45" i="26"/>
  <c r="F45" i="26" s="1"/>
  <c r="D64" i="48"/>
  <c r="E88" i="48" s="1"/>
  <c r="F88" i="48" s="1"/>
  <c r="E113" i="47"/>
  <c r="E115" i="47" s="1"/>
  <c r="G93" i="18" s="1"/>
  <c r="E44" i="26" s="1"/>
  <c r="F44" i="26" s="1"/>
  <c r="D66" i="48"/>
  <c r="E90" i="48" s="1"/>
  <c r="F90" i="48" s="1"/>
  <c r="D65" i="48"/>
  <c r="E89" i="48" s="1"/>
  <c r="F89" i="48" s="1"/>
  <c r="B73" i="48"/>
  <c r="B87" i="48" s="1"/>
  <c r="B99" i="48" s="1"/>
  <c r="B109" i="48" s="1"/>
  <c r="L39" i="48"/>
  <c r="B76" i="48"/>
  <c r="B90" i="48" s="1"/>
  <c r="B102" i="48" s="1"/>
  <c r="B112" i="48" s="1"/>
  <c r="B74" i="48"/>
  <c r="B88" i="48" s="1"/>
  <c r="B100" i="48" s="1"/>
  <c r="B110" i="48" s="1"/>
  <c r="L43" i="48"/>
  <c r="B75" i="48"/>
  <c r="B89" i="48" s="1"/>
  <c r="B101" i="48" s="1"/>
  <c r="B111" i="48" s="1"/>
  <c r="L24" i="48"/>
  <c r="E63" i="48" s="1"/>
  <c r="F63" i="48" s="1"/>
  <c r="D109" i="48" s="1"/>
  <c r="L37" i="48"/>
  <c r="L46" i="48"/>
  <c r="L49" i="48"/>
  <c r="L52" i="48"/>
  <c r="L41" i="48"/>
  <c r="L56" i="48"/>
  <c r="E67" i="48" s="1"/>
  <c r="F67" i="48" s="1"/>
  <c r="D113" i="48" s="1"/>
  <c r="L17" i="48"/>
  <c r="E62" i="48" s="1"/>
  <c r="F62" i="48" s="1"/>
  <c r="D108" i="48" s="1"/>
  <c r="L30" i="48"/>
  <c r="L32" i="48"/>
  <c r="K44" i="26" l="1"/>
  <c r="I44" i="26"/>
  <c r="L44" i="26"/>
  <c r="J44" i="26"/>
  <c r="H44" i="26"/>
  <c r="K43" i="26"/>
  <c r="L43" i="26"/>
  <c r="H43" i="26"/>
  <c r="I43" i="26"/>
  <c r="J43" i="26"/>
  <c r="H45" i="26"/>
  <c r="I45" i="26"/>
  <c r="L45" i="26"/>
  <c r="J45" i="26"/>
  <c r="K45" i="26"/>
  <c r="E64" i="48"/>
  <c r="F64" i="48" s="1"/>
  <c r="D110" i="48" s="1"/>
  <c r="D98" i="48"/>
  <c r="G98" i="48" s="1"/>
  <c r="H98" i="48" s="1"/>
  <c r="D86" i="48"/>
  <c r="D103" i="48"/>
  <c r="G103" i="48" s="1"/>
  <c r="H103" i="48" s="1"/>
  <c r="D91" i="48"/>
  <c r="D99" i="48"/>
  <c r="G99" i="48" s="1"/>
  <c r="H99" i="48" s="1"/>
  <c r="D87" i="48"/>
  <c r="E65" i="48"/>
  <c r="F65" i="48" s="1"/>
  <c r="D111" i="48" s="1"/>
  <c r="E66" i="48"/>
  <c r="F66" i="48" s="1"/>
  <c r="D112" i="48" s="1"/>
  <c r="D100" i="48" l="1"/>
  <c r="G100" i="48" s="1"/>
  <c r="H100" i="48" s="1"/>
  <c r="D88" i="48"/>
  <c r="D90" i="48"/>
  <c r="D102" i="48"/>
  <c r="G102" i="48" s="1"/>
  <c r="H102" i="48" s="1"/>
  <c r="D89" i="48"/>
  <c r="D101" i="48"/>
  <c r="G101" i="48" s="1"/>
  <c r="H101" i="48" s="1"/>
  <c r="F57" i="47" l="1"/>
  <c r="C81" i="47" s="1"/>
  <c r="F58" i="47"/>
  <c r="C82" i="47" s="1"/>
  <c r="F59" i="47"/>
  <c r="C83" i="47" s="1"/>
  <c r="F60" i="47"/>
  <c r="C84" i="47" s="1"/>
  <c r="F64" i="47"/>
  <c r="G64" i="47" s="1"/>
  <c r="D81" i="47" s="1"/>
  <c r="F65" i="47"/>
  <c r="G65" i="47" s="1"/>
  <c r="D82" i="47" s="1"/>
  <c r="F66" i="47"/>
  <c r="G66" i="47" s="1"/>
  <c r="D83" i="47" s="1"/>
  <c r="F67" i="47"/>
  <c r="G67" i="47" s="1"/>
  <c r="D84" i="47" s="1"/>
  <c r="F71" i="47"/>
  <c r="H71" i="47" s="1"/>
  <c r="F72" i="47"/>
  <c r="H72" i="47" s="1"/>
  <c r="F73" i="47"/>
  <c r="H73" i="47" s="1"/>
  <c r="F74" i="47"/>
  <c r="H74" i="47" s="1"/>
  <c r="F75" i="47"/>
  <c r="H75" i="47" s="1"/>
  <c r="F76" i="47"/>
  <c r="H76" i="47" s="1"/>
  <c r="F77" i="47"/>
  <c r="H77" i="47" s="1"/>
  <c r="I77" i="47" s="1"/>
  <c r="E84" i="47" s="1"/>
  <c r="G43" i="47"/>
  <c r="J43" i="47" s="1"/>
  <c r="D50" i="47" s="1"/>
  <c r="G42" i="47"/>
  <c r="J42" i="47" s="1"/>
  <c r="D49" i="47" s="1"/>
  <c r="G41" i="47"/>
  <c r="J41" i="47" s="1"/>
  <c r="D48" i="47" s="1"/>
  <c r="G40" i="47"/>
  <c r="J40" i="47" s="1"/>
  <c r="D47" i="47" s="1"/>
  <c r="I36" i="47"/>
  <c r="L36" i="47" s="1"/>
  <c r="I35" i="47"/>
  <c r="L35" i="47" s="1"/>
  <c r="I34" i="47"/>
  <c r="L34" i="47" s="1"/>
  <c r="I33" i="47"/>
  <c r="L33" i="47" s="1"/>
  <c r="I32" i="47"/>
  <c r="L32" i="47" s="1"/>
  <c r="I31" i="47"/>
  <c r="L31" i="47" s="1"/>
  <c r="I30" i="47"/>
  <c r="L30" i="47" s="1"/>
  <c r="I29" i="47"/>
  <c r="L29" i="47" s="1"/>
  <c r="I28" i="47"/>
  <c r="L28" i="47" s="1"/>
  <c r="I27" i="47"/>
  <c r="L27" i="47" s="1"/>
  <c r="I26" i="47"/>
  <c r="L26" i="47" s="1"/>
  <c r="I25" i="47"/>
  <c r="L25" i="47" s="1"/>
  <c r="I24" i="47"/>
  <c r="L24" i="47" s="1"/>
  <c r="I23" i="47"/>
  <c r="L23" i="47" s="1"/>
  <c r="I22" i="47"/>
  <c r="L22" i="47" s="1"/>
  <c r="I21" i="47"/>
  <c r="L21" i="47" s="1"/>
  <c r="I20" i="47"/>
  <c r="L20" i="47" s="1"/>
  <c r="I19" i="47"/>
  <c r="L19" i="47" s="1"/>
  <c r="I18" i="47"/>
  <c r="L18" i="47" s="1"/>
  <c r="I17" i="47"/>
  <c r="L17" i="47" s="1"/>
  <c r="I16" i="47"/>
  <c r="L16" i="47" s="1"/>
  <c r="I15" i="47"/>
  <c r="L15" i="47" s="1"/>
  <c r="I14" i="47"/>
  <c r="L14" i="47" s="1"/>
  <c r="I13" i="47"/>
  <c r="L13" i="47" s="1"/>
  <c r="I12" i="47"/>
  <c r="L12" i="47" s="1"/>
  <c r="I11" i="47"/>
  <c r="L11" i="47" s="1"/>
  <c r="I10" i="47"/>
  <c r="L10" i="47" s="1"/>
  <c r="I9" i="47"/>
  <c r="L9" i="47" s="1"/>
  <c r="I8" i="47"/>
  <c r="L8" i="47" s="1"/>
  <c r="I73" i="47" l="1"/>
  <c r="I71" i="47"/>
  <c r="E81" i="47" s="1"/>
  <c r="F81" i="47" s="1"/>
  <c r="D99" i="47" s="1"/>
  <c r="E82" i="47"/>
  <c r="F82" i="47" s="1"/>
  <c r="D100" i="47" s="1"/>
  <c r="F84" i="47"/>
  <c r="D102" i="47" s="1"/>
  <c r="I75" i="47"/>
  <c r="E83" i="47" s="1"/>
  <c r="F83" i="47" s="1"/>
  <c r="D101" i="47" s="1"/>
  <c r="M8" i="47"/>
  <c r="C47" i="47" s="1"/>
  <c r="E47" i="47" s="1"/>
  <c r="M15" i="47"/>
  <c r="C48" i="47" s="1"/>
  <c r="E48" i="47" s="1"/>
  <c r="M29" i="47"/>
  <c r="C50" i="47" s="1"/>
  <c r="E50" i="47" s="1"/>
  <c r="M22" i="47"/>
  <c r="C49" i="47" s="1"/>
  <c r="E49" i="47" s="1"/>
  <c r="C90" i="47" l="1"/>
  <c r="E90" i="47" s="1"/>
  <c r="C99" i="47"/>
  <c r="C92" i="47"/>
  <c r="E92" i="47" s="1"/>
  <c r="C101" i="47"/>
  <c r="C93" i="47"/>
  <c r="E93" i="47" s="1"/>
  <c r="C102" i="47"/>
  <c r="C100" i="47"/>
  <c r="C91" i="47"/>
  <c r="E91" i="47" s="1"/>
  <c r="G91" i="47" l="1"/>
  <c r="F91" i="47"/>
  <c r="H91" i="47" s="1"/>
  <c r="E100" i="47" s="1"/>
  <c r="F100" i="47" s="1"/>
  <c r="G100" i="47" s="1"/>
  <c r="G92" i="47"/>
  <c r="F92" i="47"/>
  <c r="G93" i="47"/>
  <c r="F93" i="47"/>
  <c r="G90" i="47"/>
  <c r="F90" i="47"/>
  <c r="F15" i="46"/>
  <c r="F16" i="46"/>
  <c r="F17" i="46"/>
  <c r="E30" i="46"/>
  <c r="E33" i="46" s="1"/>
  <c r="E35" i="46" s="1"/>
  <c r="G95" i="18" s="1"/>
  <c r="F5" i="45"/>
  <c r="T5" i="45" s="1"/>
  <c r="U5" i="45" s="1"/>
  <c r="J5" i="45"/>
  <c r="K5" i="45" s="1"/>
  <c r="L5" i="45" s="1"/>
  <c r="Y5" i="45"/>
  <c r="F6" i="45"/>
  <c r="T6" i="45" s="1"/>
  <c r="U6" i="45" s="1"/>
  <c r="J6" i="45"/>
  <c r="K6" i="45" s="1"/>
  <c r="L6" i="45" s="1"/>
  <c r="Y6" i="45"/>
  <c r="F7" i="45"/>
  <c r="T7" i="45" s="1"/>
  <c r="U7" i="45" s="1"/>
  <c r="J7" i="45"/>
  <c r="K7" i="45" s="1"/>
  <c r="L7" i="45" s="1"/>
  <c r="Y7" i="45"/>
  <c r="F8" i="45"/>
  <c r="T8" i="45" s="1"/>
  <c r="U8" i="45" s="1"/>
  <c r="J8" i="45"/>
  <c r="K8" i="45" s="1"/>
  <c r="L8" i="45" s="1"/>
  <c r="Y8" i="45"/>
  <c r="F9" i="45"/>
  <c r="T9" i="45" s="1"/>
  <c r="U9" i="45" s="1"/>
  <c r="J9" i="45"/>
  <c r="K9" i="45" s="1"/>
  <c r="L9" i="45" s="1"/>
  <c r="Y9" i="45"/>
  <c r="F10" i="45"/>
  <c r="T10" i="45" s="1"/>
  <c r="J10" i="45"/>
  <c r="K10" i="45" s="1"/>
  <c r="L10" i="45" s="1"/>
  <c r="U10" i="45"/>
  <c r="Y10" i="45"/>
  <c r="F11" i="45"/>
  <c r="T11" i="45" s="1"/>
  <c r="J11" i="45"/>
  <c r="K11" i="45" s="1"/>
  <c r="L11" i="45" s="1"/>
  <c r="Y11" i="45"/>
  <c r="F12" i="45"/>
  <c r="T12" i="45" s="1"/>
  <c r="U12" i="45" s="1"/>
  <c r="J12" i="45"/>
  <c r="K12" i="45" s="1"/>
  <c r="L12" i="45" s="1"/>
  <c r="Y12" i="45"/>
  <c r="F13" i="45"/>
  <c r="T13" i="45" s="1"/>
  <c r="U13" i="45" s="1"/>
  <c r="J13" i="45"/>
  <c r="K13" i="45" s="1"/>
  <c r="L13" i="45" s="1"/>
  <c r="Y13" i="45"/>
  <c r="F14" i="45"/>
  <c r="T14" i="45" s="1"/>
  <c r="U14" i="45" s="1"/>
  <c r="J14" i="45"/>
  <c r="K14" i="45" s="1"/>
  <c r="L14" i="45" s="1"/>
  <c r="Y14" i="45"/>
  <c r="F15" i="45"/>
  <c r="T15" i="45" s="1"/>
  <c r="U15" i="45" s="1"/>
  <c r="J15" i="45"/>
  <c r="K15" i="45" s="1"/>
  <c r="L15" i="45" s="1"/>
  <c r="Y15" i="45"/>
  <c r="F16" i="45"/>
  <c r="T16" i="45" s="1"/>
  <c r="U16" i="45" s="1"/>
  <c r="J16" i="45"/>
  <c r="K16" i="45" s="1"/>
  <c r="L16" i="45" s="1"/>
  <c r="Y16" i="45"/>
  <c r="F17" i="45"/>
  <c r="T17" i="45" s="1"/>
  <c r="U17" i="45" s="1"/>
  <c r="J17" i="45"/>
  <c r="K17" i="45" s="1"/>
  <c r="L17" i="45" s="1"/>
  <c r="Y17" i="45"/>
  <c r="E46" i="26" l="1"/>
  <c r="F46" i="26" s="1"/>
  <c r="G99" i="18"/>
  <c r="H90" i="47"/>
  <c r="E99" i="47" s="1"/>
  <c r="F99" i="47" s="1"/>
  <c r="G99" i="47" s="1"/>
  <c r="H92" i="47"/>
  <c r="E101" i="47" s="1"/>
  <c r="F101" i="47" s="1"/>
  <c r="G101" i="47" s="1"/>
  <c r="Y18" i="45"/>
  <c r="H93" i="47"/>
  <c r="E102" i="47" s="1"/>
  <c r="F102" i="47" s="1"/>
  <c r="G102" i="47" s="1"/>
  <c r="F18" i="46"/>
  <c r="C20" i="46" s="1"/>
  <c r="C24" i="46" s="1"/>
  <c r="J46" i="26" l="1"/>
  <c r="K46" i="26"/>
  <c r="H46" i="26"/>
  <c r="L46" i="26"/>
  <c r="I46" i="26"/>
  <c r="D20" i="14"/>
  <c r="D41" i="4" l="1"/>
  <c r="D80" i="4"/>
  <c r="E16" i="4"/>
  <c r="E28" i="4"/>
  <c r="D5" i="1"/>
  <c r="E5" i="1" s="1"/>
  <c r="B29" i="1"/>
  <c r="B41" i="1"/>
  <c r="B53" i="1"/>
  <c r="B17" i="1"/>
  <c r="B5" i="1"/>
  <c r="E42" i="2"/>
  <c r="F10" i="2" s="1"/>
  <c r="H57" i="3"/>
  <c r="H55" i="3"/>
  <c r="H6" i="2"/>
  <c r="F15" i="2" l="1"/>
  <c r="D82" i="4"/>
  <c r="F6" i="2"/>
  <c r="I6" i="2" s="1"/>
  <c r="F14" i="2"/>
  <c r="F13" i="2"/>
  <c r="F12" i="2"/>
  <c r="F11" i="2"/>
  <c r="F18" i="2"/>
  <c r="F30" i="2" s="1"/>
  <c r="G30" i="2" s="1"/>
  <c r="F9" i="2"/>
  <c r="F8" i="2"/>
  <c r="F7" i="2"/>
  <c r="F17" i="2"/>
  <c r="F16" i="2"/>
  <c r="F49" i="2" l="1"/>
  <c r="Y25" i="34"/>
  <c r="C54" i="14" l="1"/>
  <c r="D23" i="32"/>
  <c r="D26" i="32"/>
  <c r="D27" i="32"/>
  <c r="C14" i="37"/>
  <c r="D9" i="32" s="1"/>
  <c r="D14" i="37"/>
  <c r="E9" i="32" s="1"/>
  <c r="C150" i="18"/>
  <c r="G15" i="36" s="1"/>
  <c r="BS24" i="37"/>
  <c r="BU19" i="37"/>
  <c r="BT18" i="37"/>
  <c r="BT17" i="37"/>
  <c r="BT16" i="37"/>
  <c r="BT15" i="37"/>
  <c r="BT14" i="37"/>
  <c r="O13" i="37"/>
  <c r="BR10" i="37"/>
  <c r="BN9" i="37"/>
  <c r="BN12" i="37" s="1"/>
  <c r="BM9" i="37"/>
  <c r="BM12" i="37" s="1"/>
  <c r="BL9" i="37"/>
  <c r="BL12" i="37" s="1"/>
  <c r="BK9" i="37"/>
  <c r="BK12" i="37" s="1"/>
  <c r="BJ9" i="37"/>
  <c r="BJ12" i="37" s="1"/>
  <c r="BI9" i="37"/>
  <c r="BI12" i="37" s="1"/>
  <c r="BH9" i="37"/>
  <c r="BH12" i="37" s="1"/>
  <c r="BG9" i="37"/>
  <c r="BG12" i="37" s="1"/>
  <c r="BF9" i="37"/>
  <c r="BF12" i="37" s="1"/>
  <c r="BE9" i="37"/>
  <c r="BE12" i="37" s="1"/>
  <c r="BD9" i="37"/>
  <c r="BD12" i="37" s="1"/>
  <c r="BC9" i="37"/>
  <c r="BC12" i="37" s="1"/>
  <c r="BA9" i="37"/>
  <c r="BA12" i="37" s="1"/>
  <c r="AZ9" i="37"/>
  <c r="AZ12" i="37" s="1"/>
  <c r="AY9" i="37"/>
  <c r="AY12" i="37" s="1"/>
  <c r="AX9" i="37"/>
  <c r="AX12" i="37" s="1"/>
  <c r="AW9" i="37"/>
  <c r="AW12" i="37" s="1"/>
  <c r="AV9" i="37"/>
  <c r="AV12" i="37" s="1"/>
  <c r="AU9" i="37"/>
  <c r="AU12" i="37" s="1"/>
  <c r="AT9" i="37"/>
  <c r="AT12" i="37" s="1"/>
  <c r="AS9" i="37"/>
  <c r="AS12" i="37" s="1"/>
  <c r="AR9" i="37"/>
  <c r="AR12" i="37" s="1"/>
  <c r="AQ9" i="37"/>
  <c r="AQ12" i="37" s="1"/>
  <c r="AP9" i="37"/>
  <c r="AP12" i="37" s="1"/>
  <c r="AN9" i="37"/>
  <c r="AN12" i="37" s="1"/>
  <c r="AM9" i="37"/>
  <c r="AM12" i="37" s="1"/>
  <c r="AL9" i="37"/>
  <c r="AL12" i="37" s="1"/>
  <c r="AK9" i="37"/>
  <c r="AK12" i="37" s="1"/>
  <c r="AJ9" i="37"/>
  <c r="AJ12" i="37" s="1"/>
  <c r="AI9" i="37"/>
  <c r="AI12" i="37" s="1"/>
  <c r="AH9" i="37"/>
  <c r="AH12" i="37" s="1"/>
  <c r="AG9" i="37"/>
  <c r="AG12" i="37" s="1"/>
  <c r="AF9" i="37"/>
  <c r="AF12" i="37" s="1"/>
  <c r="AE9" i="37"/>
  <c r="AE12" i="37" s="1"/>
  <c r="AD9" i="37"/>
  <c r="AD12" i="37" s="1"/>
  <c r="AC9" i="37"/>
  <c r="AC12" i="37" s="1"/>
  <c r="AA9" i="37"/>
  <c r="AA12" i="37" s="1"/>
  <c r="Z9" i="37"/>
  <c r="Z12" i="37" s="1"/>
  <c r="Y9" i="37"/>
  <c r="Y12" i="37" s="1"/>
  <c r="X9" i="37"/>
  <c r="X12" i="37" s="1"/>
  <c r="W9" i="37"/>
  <c r="W12" i="37" s="1"/>
  <c r="V9" i="37"/>
  <c r="V12" i="37" s="1"/>
  <c r="U9" i="37"/>
  <c r="U12" i="37" s="1"/>
  <c r="T9" i="37"/>
  <c r="T12" i="37" s="1"/>
  <c r="S9" i="37"/>
  <c r="S12" i="37" s="1"/>
  <c r="R9" i="37"/>
  <c r="R12" i="37" s="1"/>
  <c r="Q9" i="37"/>
  <c r="Q12" i="37" s="1"/>
  <c r="P9" i="37"/>
  <c r="P12" i="37" s="1"/>
  <c r="N9" i="37"/>
  <c r="N12" i="37" s="1"/>
  <c r="N14" i="37" s="1"/>
  <c r="M9" i="37"/>
  <c r="M12" i="37" s="1"/>
  <c r="M14" i="37" s="1"/>
  <c r="L9" i="37"/>
  <c r="L12" i="37" s="1"/>
  <c r="L14" i="37" s="1"/>
  <c r="K9" i="37"/>
  <c r="K12" i="37" s="1"/>
  <c r="K14" i="37" s="1"/>
  <c r="J9" i="37"/>
  <c r="J12" i="37" s="1"/>
  <c r="J14" i="37" s="1"/>
  <c r="K9" i="32" s="1"/>
  <c r="I9" i="37"/>
  <c r="I12" i="37" s="1"/>
  <c r="I14" i="37" s="1"/>
  <c r="H9" i="37"/>
  <c r="H12" i="37" s="1"/>
  <c r="H14" i="37" s="1"/>
  <c r="G9" i="37"/>
  <c r="G12" i="37" s="1"/>
  <c r="G14" i="37" s="1"/>
  <c r="F9" i="37"/>
  <c r="F12" i="37" s="1"/>
  <c r="F14" i="37" s="1"/>
  <c r="E9" i="37"/>
  <c r="E12" i="37" s="1"/>
  <c r="E14" i="37" s="1"/>
  <c r="D9" i="37"/>
  <c r="C9" i="37"/>
  <c r="BR7" i="37"/>
  <c r="BO6" i="37"/>
  <c r="BB6" i="37"/>
  <c r="AO6" i="37"/>
  <c r="AB6" i="37"/>
  <c r="O6" i="37"/>
  <c r="C148" i="18"/>
  <c r="E15" i="36" s="1"/>
  <c r="AE14" i="37" l="1"/>
  <c r="AI14" i="37"/>
  <c r="AM14" i="37"/>
  <c r="AR14" i="37"/>
  <c r="AV14" i="37"/>
  <c r="AZ14" i="37"/>
  <c r="AH14" i="37"/>
  <c r="AY14" i="37"/>
  <c r="H9" i="32"/>
  <c r="I9" i="32"/>
  <c r="M9" i="32"/>
  <c r="L9" i="32"/>
  <c r="F9" i="32"/>
  <c r="J9" i="32"/>
  <c r="N9" i="32"/>
  <c r="AW9" i="32"/>
  <c r="O9" i="32"/>
  <c r="G9" i="32"/>
  <c r="T14" i="37"/>
  <c r="AC14" i="37"/>
  <c r="AG14" i="37"/>
  <c r="AK14" i="37"/>
  <c r="AP14" i="37"/>
  <c r="AQ9" i="32" s="1"/>
  <c r="AT14" i="37"/>
  <c r="AX14" i="37"/>
  <c r="BC14" i="37"/>
  <c r="BD9" i="32" s="1"/>
  <c r="BK14" i="37"/>
  <c r="BG14" i="37"/>
  <c r="AQ14" i="37"/>
  <c r="BD14" i="37"/>
  <c r="BH14" i="37"/>
  <c r="BL14" i="37"/>
  <c r="S14" i="37"/>
  <c r="W14" i="37"/>
  <c r="AA14" i="37"/>
  <c r="AF14" i="37"/>
  <c r="AJ14" i="37"/>
  <c r="AN14" i="37"/>
  <c r="AS14" i="37"/>
  <c r="AW14" i="37"/>
  <c r="BA14" i="37"/>
  <c r="BT19" i="37"/>
  <c r="AD14" i="37"/>
  <c r="O9" i="37"/>
  <c r="BR27" i="37"/>
  <c r="AL14" i="37"/>
  <c r="V14" i="37"/>
  <c r="AU14" i="37"/>
  <c r="P14" i="37"/>
  <c r="X14" i="37"/>
  <c r="AO13" i="37"/>
  <c r="BB13" i="37"/>
  <c r="BO13" i="37"/>
  <c r="R14" i="37"/>
  <c r="Z14" i="37"/>
  <c r="AB9" i="37"/>
  <c r="AO9" i="37"/>
  <c r="BB9" i="37"/>
  <c r="BO9" i="37"/>
  <c r="BB12" i="37"/>
  <c r="AB13" i="37"/>
  <c r="BE14" i="37"/>
  <c r="BI14" i="37"/>
  <c r="BM14" i="37"/>
  <c r="AB12" i="37"/>
  <c r="O12" i="37"/>
  <c r="BO12" i="37"/>
  <c r="AO12" i="37"/>
  <c r="Q14" i="37"/>
  <c r="U14" i="37"/>
  <c r="Y14" i="37"/>
  <c r="BF14" i="37"/>
  <c r="BJ14" i="37"/>
  <c r="BN14" i="37"/>
  <c r="BA9" i="32" l="1"/>
  <c r="AF9" i="32"/>
  <c r="AZ9" i="32"/>
  <c r="AI9" i="32"/>
  <c r="AN9" i="32"/>
  <c r="AJ9" i="32"/>
  <c r="AS9" i="32"/>
  <c r="P9" i="32"/>
  <c r="Z9" i="32"/>
  <c r="BJ9" i="32"/>
  <c r="AG9" i="32"/>
  <c r="BH9" i="32"/>
  <c r="BL9" i="32"/>
  <c r="V9" i="32"/>
  <c r="BF9" i="32"/>
  <c r="S9" i="32"/>
  <c r="W9" i="32"/>
  <c r="AE9" i="32"/>
  <c r="AT9" i="32"/>
  <c r="AB9" i="32"/>
  <c r="BI9" i="32"/>
  <c r="AL9" i="32"/>
  <c r="AA9" i="32"/>
  <c r="AV9" i="32"/>
  <c r="AX9" i="32"/>
  <c r="BM9" i="32"/>
  <c r="BO9" i="32"/>
  <c r="BK9" i="32"/>
  <c r="R9" i="32"/>
  <c r="Y9" i="32"/>
  <c r="AM9" i="32"/>
  <c r="AO9" i="32"/>
  <c r="X9" i="32"/>
  <c r="BE9" i="32"/>
  <c r="AY9" i="32"/>
  <c r="AH9" i="32"/>
  <c r="U9" i="32"/>
  <c r="BG9" i="32"/>
  <c r="BN9" i="32"/>
  <c r="Q9" i="32"/>
  <c r="BB9" i="32"/>
  <c r="AK9" i="32"/>
  <c r="T9" i="32"/>
  <c r="AR9" i="32"/>
  <c r="AU9" i="32"/>
  <c r="AD9" i="32"/>
  <c r="AO14" i="37"/>
  <c r="BB14" i="37"/>
  <c r="BO14" i="37"/>
  <c r="O14" i="37"/>
  <c r="AB14" i="37"/>
  <c r="AP9" i="32" l="1"/>
  <c r="BC9" i="32"/>
  <c r="AC9" i="32"/>
  <c r="BP9" i="32"/>
  <c r="AA23" i="34"/>
  <c r="E32" i="32" l="1"/>
  <c r="F32" i="32"/>
  <c r="G32" i="32"/>
  <c r="H32" i="32"/>
  <c r="I32" i="32"/>
  <c r="J32" i="32"/>
  <c r="K32" i="32"/>
  <c r="L32" i="32"/>
  <c r="M32" i="32"/>
  <c r="N32" i="32"/>
  <c r="O32" i="32"/>
  <c r="E31" i="32"/>
  <c r="F31" i="32"/>
  <c r="G31" i="32"/>
  <c r="H31" i="32"/>
  <c r="I31" i="32"/>
  <c r="J31" i="32"/>
  <c r="K31" i="32"/>
  <c r="L31" i="32"/>
  <c r="M31" i="32"/>
  <c r="N31" i="32"/>
  <c r="O31" i="32"/>
  <c r="E30" i="32"/>
  <c r="F30" i="32"/>
  <c r="G30" i="32"/>
  <c r="H30" i="32"/>
  <c r="I30" i="32"/>
  <c r="J30" i="32"/>
  <c r="K30" i="32"/>
  <c r="L30" i="32"/>
  <c r="M30" i="32"/>
  <c r="N30" i="32"/>
  <c r="O30" i="32"/>
  <c r="E29" i="32"/>
  <c r="F29" i="32"/>
  <c r="G29" i="32"/>
  <c r="H29" i="32"/>
  <c r="I29" i="32"/>
  <c r="J29" i="32"/>
  <c r="K29" i="32"/>
  <c r="L29" i="32"/>
  <c r="M29" i="32"/>
  <c r="N29" i="32"/>
  <c r="O29" i="32"/>
  <c r="E28" i="32"/>
  <c r="F28" i="32"/>
  <c r="G28" i="32"/>
  <c r="H28" i="32"/>
  <c r="I28" i="32"/>
  <c r="J28" i="32"/>
  <c r="K28" i="32"/>
  <c r="L28" i="32"/>
  <c r="M28" i="32"/>
  <c r="N28" i="32"/>
  <c r="O28" i="32"/>
  <c r="D28" i="32"/>
  <c r="D32" i="32"/>
  <c r="D29" i="32"/>
  <c r="D31" i="32"/>
  <c r="D30" i="32"/>
  <c r="E27" i="32"/>
  <c r="F27" i="32"/>
  <c r="G27" i="32"/>
  <c r="H27" i="32"/>
  <c r="I27" i="32"/>
  <c r="J27" i="32"/>
  <c r="K27" i="32"/>
  <c r="L27" i="32"/>
  <c r="M27" i="32"/>
  <c r="N27" i="32"/>
  <c r="O27" i="32"/>
  <c r="E26" i="32"/>
  <c r="F26" i="32"/>
  <c r="G26" i="32"/>
  <c r="H26" i="32"/>
  <c r="I26" i="32"/>
  <c r="J26" i="32"/>
  <c r="K26" i="32"/>
  <c r="L26" i="32"/>
  <c r="M26" i="32"/>
  <c r="N26" i="32"/>
  <c r="O26" i="32"/>
  <c r="Z26" i="32"/>
  <c r="D16" i="21"/>
  <c r="R29" i="32"/>
  <c r="D19" i="21"/>
  <c r="D21" i="21"/>
  <c r="AG31" i="32"/>
  <c r="F17" i="21"/>
  <c r="D17" i="21"/>
  <c r="D74" i="26"/>
  <c r="D73" i="26"/>
  <c r="D72" i="26"/>
  <c r="D71" i="26"/>
  <c r="D70" i="26"/>
  <c r="D69" i="26"/>
  <c r="D68" i="26"/>
  <c r="D67" i="26"/>
  <c r="D65" i="26"/>
  <c r="D64" i="26"/>
  <c r="D62" i="26"/>
  <c r="D61" i="26"/>
  <c r="D60" i="26"/>
  <c r="D59" i="26"/>
  <c r="D58" i="26"/>
  <c r="D57" i="26"/>
  <c r="D56" i="26"/>
  <c r="D55" i="26"/>
  <c r="D54" i="26"/>
  <c r="D53" i="26"/>
  <c r="D52" i="26"/>
  <c r="D51" i="26"/>
  <c r="D50" i="26"/>
  <c r="D42" i="26"/>
  <c r="D41" i="26"/>
  <c r="D40" i="26"/>
  <c r="D39" i="26"/>
  <c r="D38" i="26"/>
  <c r="D37" i="26"/>
  <c r="D36" i="26"/>
  <c r="D35" i="26"/>
  <c r="D34" i="26"/>
  <c r="D33" i="26"/>
  <c r="D32" i="26"/>
  <c r="D31" i="26"/>
  <c r="D30" i="26"/>
  <c r="D29" i="26"/>
  <c r="D28" i="26"/>
  <c r="D27" i="26"/>
  <c r="D26" i="26"/>
  <c r="D25" i="26"/>
  <c r="B25" i="26"/>
  <c r="B26" i="26"/>
  <c r="B27" i="26"/>
  <c r="B28" i="26"/>
  <c r="B29" i="26"/>
  <c r="B30" i="26"/>
  <c r="B31" i="26"/>
  <c r="B32" i="26"/>
  <c r="B33" i="26"/>
  <c r="B34" i="26"/>
  <c r="B35" i="26"/>
  <c r="B36" i="26"/>
  <c r="B37" i="26"/>
  <c r="B38" i="26"/>
  <c r="B39" i="26"/>
  <c r="B40" i="26"/>
  <c r="B41" i="26"/>
  <c r="B42" i="26"/>
  <c r="D7" i="26"/>
  <c r="D8" i="26"/>
  <c r="D9" i="26"/>
  <c r="D10" i="26"/>
  <c r="D11" i="26"/>
  <c r="D12" i="26"/>
  <c r="D13" i="26"/>
  <c r="D14" i="26"/>
  <c r="D15" i="26"/>
  <c r="D16" i="26"/>
  <c r="D17" i="26"/>
  <c r="D18" i="26"/>
  <c r="D19" i="26"/>
  <c r="D20" i="26"/>
  <c r="D21" i="26"/>
  <c r="D23" i="26"/>
  <c r="D24" i="26"/>
  <c r="D6" i="26"/>
  <c r="B6" i="26"/>
  <c r="B7" i="26"/>
  <c r="B8" i="26"/>
  <c r="B9" i="26"/>
  <c r="B10" i="26"/>
  <c r="B11" i="26"/>
  <c r="B12" i="26"/>
  <c r="B13" i="26"/>
  <c r="B14" i="26"/>
  <c r="B15" i="26"/>
  <c r="B16" i="26"/>
  <c r="B17" i="26"/>
  <c r="B18" i="26"/>
  <c r="B19" i="26"/>
  <c r="B20" i="26"/>
  <c r="B21" i="26"/>
  <c r="B23" i="26"/>
  <c r="B24" i="26"/>
  <c r="E23" i="32"/>
  <c r="F23" i="32"/>
  <c r="G23" i="32"/>
  <c r="H23" i="32"/>
  <c r="I23" i="32"/>
  <c r="J23" i="32"/>
  <c r="K23" i="32"/>
  <c r="L23" i="32"/>
  <c r="M23" i="32"/>
  <c r="N23" i="32"/>
  <c r="O23" i="32"/>
  <c r="AN31" i="32" l="1"/>
  <c r="Z23" i="32"/>
  <c r="AH23" i="32"/>
  <c r="AL31" i="32"/>
  <c r="AY23" i="32"/>
  <c r="AT23" i="32"/>
  <c r="BE23" i="32"/>
  <c r="BI23" i="32"/>
  <c r="BM23" i="32"/>
  <c r="BK23" i="32"/>
  <c r="BF23" i="32"/>
  <c r="BJ23" i="32"/>
  <c r="BN23" i="32"/>
  <c r="BG23" i="32"/>
  <c r="BO23" i="32"/>
  <c r="BH23" i="32"/>
  <c r="BL23" i="32"/>
  <c r="BD23" i="32"/>
  <c r="BA23" i="32"/>
  <c r="AH31" i="32"/>
  <c r="AQ23" i="32"/>
  <c r="AX23" i="32"/>
  <c r="AS23" i="32"/>
  <c r="AU23" i="32"/>
  <c r="BB23" i="32"/>
  <c r="AW23" i="32"/>
  <c r="H21" i="21"/>
  <c r="AE31" i="32"/>
  <c r="AI31" i="32"/>
  <c r="AM31" i="32"/>
  <c r="Y31" i="32"/>
  <c r="AK31" i="32"/>
  <c r="AF31" i="32"/>
  <c r="S26" i="32"/>
  <c r="AN26" i="32"/>
  <c r="V26" i="32"/>
  <c r="U31" i="32"/>
  <c r="AD31" i="32"/>
  <c r="AO31" i="32"/>
  <c r="AJ31" i="32"/>
  <c r="AZ23" i="32"/>
  <c r="AV23" i="32"/>
  <c r="AR23" i="32"/>
  <c r="V27" i="32"/>
  <c r="V23" i="32"/>
  <c r="R26" i="32"/>
  <c r="AD23" i="32"/>
  <c r="R27" i="32"/>
  <c r="R23" i="32"/>
  <c r="Z27" i="32"/>
  <c r="Q31" i="32"/>
  <c r="AL23" i="32"/>
  <c r="H19" i="21"/>
  <c r="S29" i="32"/>
  <c r="W29" i="32"/>
  <c r="AA29" i="32"/>
  <c r="T29" i="32"/>
  <c r="X29" i="32"/>
  <c r="AB29" i="32"/>
  <c r="U29" i="32"/>
  <c r="Y29" i="32"/>
  <c r="Q29" i="32"/>
  <c r="Z29" i="32"/>
  <c r="V29" i="32"/>
  <c r="Q23" i="32"/>
  <c r="Y23" i="32"/>
  <c r="U23" i="32"/>
  <c r="Q26" i="32"/>
  <c r="Y26" i="32"/>
  <c r="U26" i="32"/>
  <c r="Q27" i="32"/>
  <c r="Y27" i="32"/>
  <c r="U27" i="32"/>
  <c r="AB31" i="32"/>
  <c r="X31" i="32"/>
  <c r="T31" i="32"/>
  <c r="AO23" i="32"/>
  <c r="AK23" i="32"/>
  <c r="AG23" i="32"/>
  <c r="AB23" i="32"/>
  <c r="X23" i="32"/>
  <c r="T23" i="32"/>
  <c r="AB26" i="32"/>
  <c r="X26" i="32"/>
  <c r="T26" i="32"/>
  <c r="AB27" i="32"/>
  <c r="X27" i="32"/>
  <c r="T27" i="32"/>
  <c r="AA31" i="32"/>
  <c r="W31" i="32"/>
  <c r="S31" i="32"/>
  <c r="AN23" i="32"/>
  <c r="AJ23" i="32"/>
  <c r="AF23" i="32"/>
  <c r="F16" i="21"/>
  <c r="AA23" i="32"/>
  <c r="W23" i="32"/>
  <c r="S23" i="32"/>
  <c r="AA26" i="32"/>
  <c r="W26" i="32"/>
  <c r="AA27" i="32"/>
  <c r="W27" i="32"/>
  <c r="S27" i="32"/>
  <c r="Z31" i="32"/>
  <c r="V31" i="32"/>
  <c r="R31" i="32"/>
  <c r="AM23" i="32"/>
  <c r="AI23" i="32"/>
  <c r="AE23" i="32"/>
  <c r="P29" i="32"/>
  <c r="P23" i="32"/>
  <c r="P30" i="32"/>
  <c r="P32" i="32"/>
  <c r="P26" i="32"/>
  <c r="P27" i="32"/>
  <c r="P28" i="32"/>
  <c r="P31" i="32"/>
  <c r="F21" i="21"/>
  <c r="F19" i="21"/>
  <c r="AC26" i="32" l="1"/>
  <c r="AC27" i="32"/>
  <c r="AF26" i="32"/>
  <c r="AT26" i="32"/>
  <c r="AM26" i="32"/>
  <c r="AG26" i="32"/>
  <c r="AJ26" i="32"/>
  <c r="AI26" i="32"/>
  <c r="BP23" i="32"/>
  <c r="BC23" i="32"/>
  <c r="AP31" i="32"/>
  <c r="AU26" i="32"/>
  <c r="AR31" i="32"/>
  <c r="AV31" i="32"/>
  <c r="AZ31" i="32"/>
  <c r="AT31" i="32"/>
  <c r="AY31" i="32"/>
  <c r="AQ31" i="32"/>
  <c r="AW31" i="32"/>
  <c r="BB31" i="32"/>
  <c r="AS31" i="32"/>
  <c r="AU31" i="32"/>
  <c r="BA31" i="32"/>
  <c r="AX31" i="32"/>
  <c r="AE26" i="32"/>
  <c r="AH26" i="32"/>
  <c r="AD26" i="32"/>
  <c r="AL26" i="32"/>
  <c r="AK26" i="32"/>
  <c r="H16" i="21"/>
  <c r="AO26" i="32"/>
  <c r="AC23" i="32"/>
  <c r="AC29" i="32"/>
  <c r="AP23" i="32"/>
  <c r="AC31" i="32"/>
  <c r="J17" i="21"/>
  <c r="AG27" i="32"/>
  <c r="AK27" i="32"/>
  <c r="AO27" i="32"/>
  <c r="AJ27" i="32"/>
  <c r="AH27" i="32"/>
  <c r="AL27" i="32"/>
  <c r="AN27" i="32"/>
  <c r="AE27" i="32"/>
  <c r="AI27" i="32"/>
  <c r="AM27" i="32"/>
  <c r="AD27" i="32"/>
  <c r="AF27" i="32"/>
  <c r="H17" i="21"/>
  <c r="AF29" i="32"/>
  <c r="AJ29" i="32"/>
  <c r="AN29" i="32"/>
  <c r="AI29" i="32"/>
  <c r="AG29" i="32"/>
  <c r="AK29" i="32"/>
  <c r="AO29" i="32"/>
  <c r="AD29" i="32"/>
  <c r="AH29" i="32"/>
  <c r="AL29" i="32"/>
  <c r="AE29" i="32"/>
  <c r="AM29" i="32"/>
  <c r="J21" i="21"/>
  <c r="AX26" i="32" l="1"/>
  <c r="BA26" i="32"/>
  <c r="AV26" i="32"/>
  <c r="AS26" i="32"/>
  <c r="AR26" i="32"/>
  <c r="AQ26" i="32"/>
  <c r="AZ26" i="32"/>
  <c r="AY26" i="32"/>
  <c r="J16" i="21"/>
  <c r="AW26" i="32"/>
  <c r="BB26" i="32"/>
  <c r="L16" i="21"/>
  <c r="BG26" i="32"/>
  <c r="BK26" i="32"/>
  <c r="BO26" i="32"/>
  <c r="BH26" i="32"/>
  <c r="BL26" i="32"/>
  <c r="BF26" i="32"/>
  <c r="BN26" i="32"/>
  <c r="BE26" i="32"/>
  <c r="BI26" i="32"/>
  <c r="BJ26" i="32"/>
  <c r="BD26" i="32"/>
  <c r="BM26" i="32"/>
  <c r="L21" i="21"/>
  <c r="BG31" i="32"/>
  <c r="BK31" i="32"/>
  <c r="BO31" i="32"/>
  <c r="BH31" i="32"/>
  <c r="BL31" i="32"/>
  <c r="BF31" i="32"/>
  <c r="BN31" i="32"/>
  <c r="BD31" i="32"/>
  <c r="BM31" i="32"/>
  <c r="BI31" i="32"/>
  <c r="BJ31" i="32"/>
  <c r="BE31" i="32"/>
  <c r="AP26" i="32"/>
  <c r="AU29" i="32"/>
  <c r="AY29" i="32"/>
  <c r="AQ29" i="32"/>
  <c r="AV29" i="32"/>
  <c r="BA29" i="32"/>
  <c r="AS29" i="32"/>
  <c r="AX29" i="32"/>
  <c r="AZ29" i="32"/>
  <c r="AR29" i="32"/>
  <c r="AW29" i="32"/>
  <c r="BB29" i="32"/>
  <c r="AT29" i="32"/>
  <c r="BC31" i="32"/>
  <c r="AU27" i="32"/>
  <c r="AY27" i="32"/>
  <c r="AQ27" i="32"/>
  <c r="AV27" i="32"/>
  <c r="BA27" i="32"/>
  <c r="AS27" i="32"/>
  <c r="AT27" i="32"/>
  <c r="AR27" i="32"/>
  <c r="AW27" i="32"/>
  <c r="BB27" i="32"/>
  <c r="AX27" i="32"/>
  <c r="AZ27" i="32"/>
  <c r="J19" i="21"/>
  <c r="AP27" i="32"/>
  <c r="AP29" i="32"/>
  <c r="G139" i="18"/>
  <c r="E72" i="26" s="1"/>
  <c r="F72" i="26" s="1"/>
  <c r="G138" i="18"/>
  <c r="E71" i="26" s="1"/>
  <c r="F71" i="26" s="1"/>
  <c r="G137" i="18"/>
  <c r="E70" i="26" s="1"/>
  <c r="F70" i="26" s="1"/>
  <c r="G132" i="18"/>
  <c r="E64" i="26" s="1"/>
  <c r="F64" i="26" s="1"/>
  <c r="G133" i="18"/>
  <c r="E65" i="26" s="1"/>
  <c r="F65" i="26" s="1"/>
  <c r="G134" i="18"/>
  <c r="E67" i="26" s="1"/>
  <c r="F67" i="26" s="1"/>
  <c r="G135" i="18"/>
  <c r="E68" i="26" s="1"/>
  <c r="F68" i="26" s="1"/>
  <c r="G140" i="18"/>
  <c r="E73" i="26" s="1"/>
  <c r="F73" i="26" s="1"/>
  <c r="G141" i="18"/>
  <c r="E74" i="26" s="1"/>
  <c r="F74" i="26" s="1"/>
  <c r="G136" i="18"/>
  <c r="E69" i="26" s="1"/>
  <c r="F69" i="26" s="1"/>
  <c r="G119" i="18"/>
  <c r="E61" i="26" s="1"/>
  <c r="F61" i="26" s="1"/>
  <c r="H61" i="26" s="1"/>
  <c r="G118" i="18"/>
  <c r="E60" i="26" s="1"/>
  <c r="F60" i="26" s="1"/>
  <c r="H60" i="26" s="1"/>
  <c r="G112" i="18"/>
  <c r="E55" i="26" s="1"/>
  <c r="F55" i="26" s="1"/>
  <c r="H55" i="26" s="1"/>
  <c r="G111" i="18"/>
  <c r="E54" i="26" s="1"/>
  <c r="F54" i="26" s="1"/>
  <c r="H54" i="26" s="1"/>
  <c r="G115" i="18"/>
  <c r="E57" i="26" s="1"/>
  <c r="F57" i="26" s="1"/>
  <c r="H57" i="26" s="1"/>
  <c r="G116" i="18"/>
  <c r="E58" i="26" s="1"/>
  <c r="F58" i="26" s="1"/>
  <c r="H58" i="26" s="1"/>
  <c r="G117" i="18"/>
  <c r="E59" i="26" s="1"/>
  <c r="F59" i="26" s="1"/>
  <c r="H59" i="26" s="1"/>
  <c r="G124" i="18"/>
  <c r="E62" i="26" s="1"/>
  <c r="F62" i="26" s="1"/>
  <c r="H62" i="26" s="1"/>
  <c r="E10" i="26"/>
  <c r="F10" i="26" s="1"/>
  <c r="E31" i="26"/>
  <c r="F31" i="26" s="1"/>
  <c r="E30" i="26"/>
  <c r="F30" i="26" s="1"/>
  <c r="E24" i="26"/>
  <c r="F24" i="26" s="1"/>
  <c r="E34" i="26"/>
  <c r="F34" i="26" s="1"/>
  <c r="E33" i="26"/>
  <c r="F33" i="26" s="1"/>
  <c r="E41" i="26"/>
  <c r="F41" i="26" s="1"/>
  <c r="E26" i="26"/>
  <c r="F26" i="26" s="1"/>
  <c r="E27" i="26"/>
  <c r="F27" i="26" s="1"/>
  <c r="E29" i="26"/>
  <c r="F29" i="26" s="1"/>
  <c r="E28" i="26"/>
  <c r="F28" i="26" s="1"/>
  <c r="E32" i="26"/>
  <c r="F32" i="26" s="1"/>
  <c r="E35" i="26"/>
  <c r="F35" i="26" s="1"/>
  <c r="E12" i="26"/>
  <c r="F12" i="26" s="1"/>
  <c r="E42" i="26"/>
  <c r="F42" i="26" s="1"/>
  <c r="E25" i="26"/>
  <c r="F25" i="26" s="1"/>
  <c r="E18" i="26"/>
  <c r="F18" i="26" s="1"/>
  <c r="E19" i="26"/>
  <c r="F19" i="26" s="1"/>
  <c r="E17" i="26"/>
  <c r="F17" i="26" s="1"/>
  <c r="G113" i="18"/>
  <c r="E56" i="26" s="1"/>
  <c r="F56" i="26" s="1"/>
  <c r="H56" i="26" s="1"/>
  <c r="E15" i="26"/>
  <c r="F15" i="26" s="1"/>
  <c r="E16" i="26"/>
  <c r="F16" i="26" s="1"/>
  <c r="E14" i="26"/>
  <c r="F14" i="26" s="1"/>
  <c r="E13" i="26"/>
  <c r="F13" i="26" s="1"/>
  <c r="E11" i="26"/>
  <c r="F11" i="26" s="1"/>
  <c r="BC26" i="32" l="1"/>
  <c r="J74" i="26"/>
  <c r="I74" i="26"/>
  <c r="H74" i="26"/>
  <c r="H65" i="26"/>
  <c r="J65" i="26"/>
  <c r="I65" i="26"/>
  <c r="H72" i="26"/>
  <c r="J72" i="26"/>
  <c r="I72" i="26"/>
  <c r="H73" i="26"/>
  <c r="J73" i="26"/>
  <c r="I73" i="26"/>
  <c r="J64" i="26"/>
  <c r="I64" i="26"/>
  <c r="H64" i="26"/>
  <c r="I68" i="26"/>
  <c r="H68" i="26"/>
  <c r="J68" i="26"/>
  <c r="H70" i="26"/>
  <c r="J70" i="26"/>
  <c r="I70" i="26"/>
  <c r="J69" i="26"/>
  <c r="I69" i="26"/>
  <c r="H69" i="26"/>
  <c r="H67" i="26"/>
  <c r="J67" i="26"/>
  <c r="I67" i="26"/>
  <c r="J71" i="26"/>
  <c r="I71" i="26"/>
  <c r="H71" i="26"/>
  <c r="BP26" i="32"/>
  <c r="G142" i="18"/>
  <c r="L17" i="21"/>
  <c r="BF27" i="32"/>
  <c r="BJ27" i="32"/>
  <c r="BN27" i="32"/>
  <c r="BG27" i="32"/>
  <c r="BK27" i="32"/>
  <c r="BO27" i="32"/>
  <c r="BI27" i="32"/>
  <c r="BL27" i="32"/>
  <c r="BD27" i="32"/>
  <c r="BM27" i="32"/>
  <c r="BE27" i="32"/>
  <c r="BH27" i="32"/>
  <c r="BP31" i="32"/>
  <c r="L19" i="21"/>
  <c r="BF29" i="32"/>
  <c r="BJ29" i="32"/>
  <c r="BN29" i="32"/>
  <c r="BG29" i="32"/>
  <c r="BK29" i="32"/>
  <c r="BO29" i="32"/>
  <c r="BE29" i="32"/>
  <c r="BM29" i="32"/>
  <c r="BI29" i="32"/>
  <c r="BL29" i="32"/>
  <c r="BD29" i="32"/>
  <c r="BH29" i="32"/>
  <c r="J13" i="26"/>
  <c r="L13" i="26"/>
  <c r="H13" i="26"/>
  <c r="K13" i="26"/>
  <c r="I13" i="26"/>
  <c r="L25" i="26"/>
  <c r="K25" i="26"/>
  <c r="J25" i="26"/>
  <c r="I25" i="26"/>
  <c r="H25" i="26"/>
  <c r="J26" i="26"/>
  <c r="K26" i="26"/>
  <c r="L26" i="26"/>
  <c r="I26" i="26"/>
  <c r="H26" i="26"/>
  <c r="I62" i="26"/>
  <c r="L62" i="26"/>
  <c r="J62" i="26"/>
  <c r="K62" i="26"/>
  <c r="L61" i="26"/>
  <c r="K61" i="26"/>
  <c r="J61" i="26"/>
  <c r="I61" i="26"/>
  <c r="J17" i="26"/>
  <c r="L17" i="26"/>
  <c r="K17" i="26"/>
  <c r="I17" i="26"/>
  <c r="H17" i="26"/>
  <c r="I41" i="26"/>
  <c r="H41" i="26"/>
  <c r="K41" i="26"/>
  <c r="J41" i="26"/>
  <c r="L41" i="26"/>
  <c r="L69" i="26"/>
  <c r="K69" i="26"/>
  <c r="L16" i="26"/>
  <c r="K16" i="26"/>
  <c r="I16" i="26"/>
  <c r="H16" i="26"/>
  <c r="J16" i="26"/>
  <c r="H19" i="26"/>
  <c r="K19" i="26"/>
  <c r="L19" i="26"/>
  <c r="J19" i="26"/>
  <c r="I19" i="26"/>
  <c r="L12" i="26"/>
  <c r="K12" i="26"/>
  <c r="J12" i="26"/>
  <c r="I12" i="26"/>
  <c r="H12" i="26"/>
  <c r="L29" i="26"/>
  <c r="K29" i="26"/>
  <c r="J29" i="26"/>
  <c r="H29" i="26"/>
  <c r="I29" i="26"/>
  <c r="L33" i="26"/>
  <c r="K33" i="26"/>
  <c r="I33" i="26"/>
  <c r="H33" i="26"/>
  <c r="J33" i="26"/>
  <c r="I31" i="26"/>
  <c r="K31" i="26"/>
  <c r="H31" i="26"/>
  <c r="L31" i="26"/>
  <c r="J31" i="26"/>
  <c r="I59" i="26"/>
  <c r="L59" i="26"/>
  <c r="K59" i="26"/>
  <c r="J59" i="26"/>
  <c r="J55" i="26"/>
  <c r="L55" i="26"/>
  <c r="I55" i="26"/>
  <c r="K55" i="26"/>
  <c r="L74" i="26"/>
  <c r="K74" i="26"/>
  <c r="K65" i="26"/>
  <c r="L65" i="26"/>
  <c r="K71" i="26"/>
  <c r="L71" i="26"/>
  <c r="K56" i="26"/>
  <c r="L56" i="26"/>
  <c r="J56" i="26"/>
  <c r="I56" i="26"/>
  <c r="H32" i="26"/>
  <c r="K32" i="26"/>
  <c r="J32" i="26"/>
  <c r="I32" i="26"/>
  <c r="L32" i="26"/>
  <c r="H24" i="26"/>
  <c r="J24" i="26"/>
  <c r="L24" i="26"/>
  <c r="K24" i="26"/>
  <c r="I24" i="26"/>
  <c r="L57" i="26"/>
  <c r="K57" i="26"/>
  <c r="J57" i="26"/>
  <c r="I57" i="26"/>
  <c r="L68" i="26"/>
  <c r="K68" i="26"/>
  <c r="I14" i="26"/>
  <c r="K14" i="26"/>
  <c r="L14" i="26"/>
  <c r="H14" i="26"/>
  <c r="J14" i="26"/>
  <c r="H42" i="26"/>
  <c r="L42" i="26"/>
  <c r="I42" i="26"/>
  <c r="K42" i="26"/>
  <c r="J42" i="26"/>
  <c r="H28" i="26"/>
  <c r="L28" i="26"/>
  <c r="I28" i="26"/>
  <c r="K28" i="26"/>
  <c r="J28" i="26"/>
  <c r="J30" i="26"/>
  <c r="L30" i="26"/>
  <c r="H30" i="26"/>
  <c r="K30" i="26"/>
  <c r="I30" i="26"/>
  <c r="L54" i="26"/>
  <c r="K54" i="26"/>
  <c r="I54" i="26"/>
  <c r="J54" i="26"/>
  <c r="K67" i="26"/>
  <c r="L67" i="26"/>
  <c r="L70" i="26"/>
  <c r="K70" i="26"/>
  <c r="H11" i="26"/>
  <c r="L11" i="26"/>
  <c r="I11" i="26"/>
  <c r="K11" i="26"/>
  <c r="J11" i="26"/>
  <c r="H15" i="26"/>
  <c r="L15" i="26"/>
  <c r="J15" i="26"/>
  <c r="K15" i="26"/>
  <c r="I15" i="26"/>
  <c r="I18" i="26"/>
  <c r="J18" i="26"/>
  <c r="L18" i="26"/>
  <c r="K18" i="26"/>
  <c r="H18" i="26"/>
  <c r="I35" i="26"/>
  <c r="J35" i="26"/>
  <c r="L35" i="26"/>
  <c r="H35" i="26"/>
  <c r="K35" i="26"/>
  <c r="I27" i="26"/>
  <c r="H27" i="26"/>
  <c r="L27" i="26"/>
  <c r="K27" i="26"/>
  <c r="J27" i="26"/>
  <c r="J34" i="26"/>
  <c r="L34" i="26"/>
  <c r="K34" i="26"/>
  <c r="I34" i="26"/>
  <c r="H34" i="26"/>
  <c r="I10" i="26"/>
  <c r="H10" i="26"/>
  <c r="K10" i="26"/>
  <c r="J10" i="26"/>
  <c r="L10" i="26"/>
  <c r="J58" i="26"/>
  <c r="I58" i="26"/>
  <c r="L58" i="26"/>
  <c r="K58" i="26"/>
  <c r="J60" i="26"/>
  <c r="K60" i="26"/>
  <c r="L60" i="26"/>
  <c r="I60" i="26"/>
  <c r="L73" i="26"/>
  <c r="K73" i="26"/>
  <c r="L64" i="26"/>
  <c r="K64" i="26"/>
  <c r="L72" i="26"/>
  <c r="K72" i="26"/>
  <c r="BC27" i="32"/>
  <c r="BC29" i="32"/>
  <c r="C151" i="18" l="1"/>
  <c r="H15" i="36" s="1"/>
  <c r="E75" i="26"/>
  <c r="F75" i="26" s="1"/>
  <c r="L75" i="26" s="1"/>
  <c r="BP29" i="32"/>
  <c r="BP27" i="32"/>
  <c r="E25" i="8" l="1"/>
  <c r="D25" i="8"/>
  <c r="D24" i="8"/>
  <c r="F24" i="8" s="1"/>
  <c r="F25" i="8" l="1"/>
  <c r="D20" i="21"/>
  <c r="C16" i="14"/>
  <c r="C65" i="14" s="1"/>
  <c r="F26" i="8" l="1"/>
  <c r="D31" i="8" l="1"/>
  <c r="D36" i="8" s="1"/>
  <c r="E36" i="8"/>
  <c r="E45" i="8" s="1"/>
  <c r="E46" i="8" s="1"/>
  <c r="E47" i="8" s="1"/>
  <c r="E48" i="8" s="1"/>
  <c r="E49" i="8" s="1"/>
  <c r="D22" i="21"/>
  <c r="D18" i="21"/>
  <c r="D23" i="21"/>
  <c r="D13" i="21"/>
  <c r="D45" i="8" l="1"/>
  <c r="D37" i="8"/>
  <c r="D38" i="8" s="1"/>
  <c r="D39" i="8" s="1"/>
  <c r="D40" i="8" s="1"/>
  <c r="F36" i="8"/>
  <c r="F45" i="8"/>
  <c r="E40" i="8"/>
  <c r="E38" i="8"/>
  <c r="E37" i="8"/>
  <c r="E39" i="8"/>
  <c r="F22" i="21"/>
  <c r="S32" i="32"/>
  <c r="W32" i="32"/>
  <c r="AA32" i="32"/>
  <c r="T32" i="32"/>
  <c r="X32" i="32"/>
  <c r="AB32" i="32"/>
  <c r="U32" i="32"/>
  <c r="Y32" i="32"/>
  <c r="V32" i="32"/>
  <c r="Q32" i="32"/>
  <c r="Z32" i="32"/>
  <c r="R32" i="32"/>
  <c r="S28" i="32"/>
  <c r="W28" i="32"/>
  <c r="AA28" i="32"/>
  <c r="T28" i="32"/>
  <c r="X28" i="32"/>
  <c r="AB28" i="32"/>
  <c r="U28" i="32"/>
  <c r="Y28" i="32"/>
  <c r="Q28" i="32"/>
  <c r="Z28" i="32"/>
  <c r="R28" i="32"/>
  <c r="V28" i="32"/>
  <c r="H23" i="21"/>
  <c r="U30" i="32"/>
  <c r="Y30" i="32"/>
  <c r="Q30" i="32"/>
  <c r="R30" i="32"/>
  <c r="V30" i="32"/>
  <c r="Z30" i="32"/>
  <c r="S30" i="32"/>
  <c r="W30" i="32"/>
  <c r="AA30" i="32"/>
  <c r="X30" i="32"/>
  <c r="AB30" i="32"/>
  <c r="T30" i="32"/>
  <c r="F13" i="21"/>
  <c r="F23" i="21"/>
  <c r="F18" i="21"/>
  <c r="F20" i="21"/>
  <c r="G110" i="18"/>
  <c r="E53" i="26" s="1"/>
  <c r="F53" i="26" s="1"/>
  <c r="H53" i="26" s="1"/>
  <c r="G109" i="18"/>
  <c r="E52" i="26" s="1"/>
  <c r="F52" i="26" s="1"/>
  <c r="H52" i="26" s="1"/>
  <c r="G108" i="18"/>
  <c r="E51" i="26" s="1"/>
  <c r="F51" i="26" s="1"/>
  <c r="H51" i="26" s="1"/>
  <c r="G107" i="18"/>
  <c r="E36" i="26"/>
  <c r="F36" i="26" s="1"/>
  <c r="E40" i="26"/>
  <c r="F40" i="26" s="1"/>
  <c r="E39" i="26"/>
  <c r="F39" i="26" s="1"/>
  <c r="E9" i="26"/>
  <c r="F9" i="26" s="1"/>
  <c r="E37" i="26"/>
  <c r="F37" i="26" s="1"/>
  <c r="E38" i="26"/>
  <c r="F38" i="26" s="1"/>
  <c r="D23" i="15"/>
  <c r="C23" i="15"/>
  <c r="D22" i="15"/>
  <c r="C22" i="15"/>
  <c r="D21" i="15"/>
  <c r="C21" i="15"/>
  <c r="C20" i="15"/>
  <c r="E14" i="15"/>
  <c r="D6" i="56" s="1"/>
  <c r="G15" i="15"/>
  <c r="H15" i="15" s="1"/>
  <c r="E7" i="26"/>
  <c r="F7" i="26" s="1"/>
  <c r="E8" i="26"/>
  <c r="F8" i="26" s="1"/>
  <c r="E20" i="26"/>
  <c r="F20" i="26" s="1"/>
  <c r="E21" i="26"/>
  <c r="F21" i="26" s="1"/>
  <c r="E6" i="26"/>
  <c r="F6" i="26" s="1"/>
  <c r="E23" i="26"/>
  <c r="F23" i="26" s="1"/>
  <c r="P6" i="56" l="1"/>
  <c r="O6" i="56"/>
  <c r="H6" i="56"/>
  <c r="I6" i="56" s="1"/>
  <c r="C7" i="52"/>
  <c r="D46" i="8"/>
  <c r="AC28" i="32"/>
  <c r="F46" i="8"/>
  <c r="E50" i="26"/>
  <c r="F50" i="26" s="1"/>
  <c r="J50" i="26" s="1"/>
  <c r="G125" i="18"/>
  <c r="C149" i="18" s="1"/>
  <c r="F15" i="36" s="1"/>
  <c r="L20" i="26"/>
  <c r="K20" i="26"/>
  <c r="H20" i="26"/>
  <c r="J20" i="26"/>
  <c r="I20" i="26"/>
  <c r="J51" i="26"/>
  <c r="L51" i="26"/>
  <c r="K51" i="26"/>
  <c r="I51" i="26"/>
  <c r="J6" i="26"/>
  <c r="K6" i="26"/>
  <c r="H6" i="26"/>
  <c r="L6" i="26"/>
  <c r="I6" i="26"/>
  <c r="L8" i="26"/>
  <c r="H8" i="26"/>
  <c r="J8" i="26"/>
  <c r="I8" i="26"/>
  <c r="K8" i="26"/>
  <c r="J40" i="26"/>
  <c r="K40" i="26"/>
  <c r="H40" i="26"/>
  <c r="L40" i="26"/>
  <c r="I40" i="26"/>
  <c r="I52" i="26"/>
  <c r="K52" i="26"/>
  <c r="L52" i="26"/>
  <c r="J52" i="26"/>
  <c r="I37" i="26"/>
  <c r="L37" i="26"/>
  <c r="K37" i="26"/>
  <c r="J37" i="26"/>
  <c r="H37" i="26"/>
  <c r="I23" i="26"/>
  <c r="L23" i="26"/>
  <c r="H23" i="26"/>
  <c r="J23" i="26"/>
  <c r="K23" i="26"/>
  <c r="L39" i="26"/>
  <c r="K39" i="26"/>
  <c r="J39" i="26"/>
  <c r="I39" i="26"/>
  <c r="H39" i="26"/>
  <c r="J21" i="26"/>
  <c r="I21" i="26"/>
  <c r="H21" i="26"/>
  <c r="K21" i="26"/>
  <c r="L21" i="26"/>
  <c r="L7" i="26"/>
  <c r="I7" i="26"/>
  <c r="H7" i="26"/>
  <c r="J7" i="26"/>
  <c r="K7" i="26"/>
  <c r="H38" i="26"/>
  <c r="J38" i="26"/>
  <c r="L38" i="26"/>
  <c r="I38" i="26"/>
  <c r="K38" i="26"/>
  <c r="L9" i="26"/>
  <c r="K9" i="26"/>
  <c r="H9" i="26"/>
  <c r="I9" i="26"/>
  <c r="J9" i="26"/>
  <c r="H36" i="26"/>
  <c r="K36" i="26"/>
  <c r="L36" i="26"/>
  <c r="J36" i="26"/>
  <c r="I36" i="26"/>
  <c r="L53" i="26"/>
  <c r="K53" i="26"/>
  <c r="J53" i="26"/>
  <c r="I53" i="26"/>
  <c r="H20" i="21"/>
  <c r="AU28" i="32"/>
  <c r="AY28" i="32"/>
  <c r="AQ28" i="32"/>
  <c r="AT28" i="32"/>
  <c r="AZ28" i="32"/>
  <c r="AR28" i="32"/>
  <c r="BB28" i="32"/>
  <c r="AS28" i="32"/>
  <c r="AV28" i="32"/>
  <c r="BA28" i="32"/>
  <c r="AW28" i="32"/>
  <c r="AX28" i="32"/>
  <c r="AS30" i="32"/>
  <c r="AW30" i="32"/>
  <c r="BA30" i="32"/>
  <c r="AQ30" i="32"/>
  <c r="AT30" i="32"/>
  <c r="AY30" i="32"/>
  <c r="AV30" i="32"/>
  <c r="BB30" i="32"/>
  <c r="AX30" i="32"/>
  <c r="AU30" i="32"/>
  <c r="AZ30" i="32"/>
  <c r="AR30" i="32"/>
  <c r="AF30" i="32"/>
  <c r="AJ30" i="32"/>
  <c r="AN30" i="32"/>
  <c r="AI30" i="32"/>
  <c r="AO30" i="32"/>
  <c r="AG30" i="32"/>
  <c r="AE30" i="32"/>
  <c r="AK30" i="32"/>
  <c r="AD30" i="32"/>
  <c r="AL30" i="32"/>
  <c r="AM30" i="32"/>
  <c r="AH30" i="32"/>
  <c r="J22" i="21"/>
  <c r="AH32" i="32"/>
  <c r="AL32" i="32"/>
  <c r="AE32" i="32"/>
  <c r="AJ32" i="32"/>
  <c r="AO32" i="32"/>
  <c r="AG32" i="32"/>
  <c r="AF32" i="32"/>
  <c r="AK32" i="32"/>
  <c r="AM32" i="32"/>
  <c r="AN32" i="32"/>
  <c r="AD32" i="32"/>
  <c r="AI32" i="32"/>
  <c r="AC32" i="32"/>
  <c r="AC30" i="32"/>
  <c r="AG28" i="32"/>
  <c r="AK28" i="32"/>
  <c r="AO28" i="32"/>
  <c r="AH28" i="32"/>
  <c r="AL28" i="32"/>
  <c r="AE28" i="32"/>
  <c r="AI28" i="32"/>
  <c r="AM28" i="32"/>
  <c r="AD28" i="32"/>
  <c r="AF28" i="32"/>
  <c r="AJ28" i="32"/>
  <c r="AN28" i="32"/>
  <c r="H18" i="21"/>
  <c r="G88" i="18"/>
  <c r="G100" i="18" s="1"/>
  <c r="H22" i="21"/>
  <c r="H13" i="21"/>
  <c r="J18" i="21"/>
  <c r="J23" i="21"/>
  <c r="J20" i="21"/>
  <c r="F23" i="15"/>
  <c r="G23" i="15" s="1"/>
  <c r="F22" i="15"/>
  <c r="G22" i="15" s="1"/>
  <c r="F21" i="15"/>
  <c r="G21" i="15" s="1"/>
  <c r="F20" i="15"/>
  <c r="G14" i="15"/>
  <c r="H14" i="15" s="1"/>
  <c r="E15" i="15"/>
  <c r="D7" i="56" s="1"/>
  <c r="Q6" i="56" l="1"/>
  <c r="R6" i="56" s="1"/>
  <c r="O7" i="56"/>
  <c r="P7" i="56"/>
  <c r="H7" i="56"/>
  <c r="I7" i="56" s="1"/>
  <c r="C19" i="52"/>
  <c r="D7" i="52"/>
  <c r="D47" i="8"/>
  <c r="J78" i="26"/>
  <c r="I50" i="26"/>
  <c r="L50" i="26"/>
  <c r="H50" i="26"/>
  <c r="H78" i="26" s="1"/>
  <c r="C18" i="52" s="1"/>
  <c r="K50" i="26"/>
  <c r="G20" i="15"/>
  <c r="G25" i="15" s="1"/>
  <c r="F25" i="15"/>
  <c r="F37" i="8"/>
  <c r="L23" i="21"/>
  <c r="L20" i="21"/>
  <c r="BH30" i="32"/>
  <c r="BL30" i="32"/>
  <c r="BD30" i="32"/>
  <c r="BE30" i="32"/>
  <c r="BI30" i="32"/>
  <c r="BM30" i="32"/>
  <c r="BK30" i="32"/>
  <c r="BG30" i="32"/>
  <c r="BF30" i="32"/>
  <c r="BN30" i="32"/>
  <c r="BO30" i="32"/>
  <c r="BJ30" i="32"/>
  <c r="L18" i="21"/>
  <c r="BG28" i="32"/>
  <c r="BK28" i="32"/>
  <c r="BO28" i="32"/>
  <c r="BH28" i="32"/>
  <c r="BL28" i="32"/>
  <c r="BJ28" i="32"/>
  <c r="BD28" i="32"/>
  <c r="BN28" i="32"/>
  <c r="BE28" i="32"/>
  <c r="BM28" i="32"/>
  <c r="BF28" i="32"/>
  <c r="BI28" i="32"/>
  <c r="BC30" i="32"/>
  <c r="BC28" i="32"/>
  <c r="AU32" i="32"/>
  <c r="AY32" i="32"/>
  <c r="AR32" i="32"/>
  <c r="AT32" i="32"/>
  <c r="AZ32" i="32"/>
  <c r="AW32" i="32"/>
  <c r="BB32" i="32"/>
  <c r="AS32" i="32"/>
  <c r="AQ32" i="32"/>
  <c r="AV32" i="32"/>
  <c r="BA32" i="32"/>
  <c r="AX32" i="32"/>
  <c r="AP32" i="32"/>
  <c r="AP30" i="32"/>
  <c r="AP28" i="32"/>
  <c r="J13" i="21"/>
  <c r="C47" i="14"/>
  <c r="E13" i="15"/>
  <c r="D5" i="56" l="1"/>
  <c r="G13" i="15"/>
  <c r="H13" i="15" s="1"/>
  <c r="H16" i="15" s="1"/>
  <c r="G27" i="15" s="1"/>
  <c r="C38" i="15" s="1"/>
  <c r="Q7" i="56"/>
  <c r="R7" i="56" s="1"/>
  <c r="D19" i="52"/>
  <c r="G11" i="28"/>
  <c r="E18" i="52"/>
  <c r="D48" i="8"/>
  <c r="F48" i="8" s="1"/>
  <c r="E7" i="52"/>
  <c r="F47" i="8"/>
  <c r="I78" i="26"/>
  <c r="L78" i="26"/>
  <c r="K78" i="26"/>
  <c r="C11" i="28"/>
  <c r="F38" i="8"/>
  <c r="C147" i="18"/>
  <c r="L6" i="25" s="1"/>
  <c r="BP30" i="32"/>
  <c r="BP28" i="32"/>
  <c r="L22" i="21"/>
  <c r="BF32" i="32"/>
  <c r="BJ32" i="32"/>
  <c r="BN32" i="32"/>
  <c r="BG32" i="32"/>
  <c r="BK32" i="32"/>
  <c r="BO32" i="32"/>
  <c r="BI32" i="32"/>
  <c r="BD32" i="32"/>
  <c r="BM32" i="32"/>
  <c r="BH32" i="32"/>
  <c r="BL32" i="32"/>
  <c r="BE32" i="32"/>
  <c r="BC32" i="32"/>
  <c r="L13" i="21"/>
  <c r="C7" i="12"/>
  <c r="C10" i="12" s="1"/>
  <c r="C12" i="12" s="1"/>
  <c r="F42" i="14"/>
  <c r="D42" i="14"/>
  <c r="D43" i="14" s="1"/>
  <c r="E43" i="14" s="1"/>
  <c r="D26" i="14"/>
  <c r="D34" i="14" s="1"/>
  <c r="D25" i="14"/>
  <c r="C51" i="14"/>
  <c r="C22" i="12"/>
  <c r="C21" i="12"/>
  <c r="C20" i="12"/>
  <c r="G16" i="15" l="1"/>
  <c r="F27" i="15" s="1"/>
  <c r="P5" i="56"/>
  <c r="O5" i="56"/>
  <c r="Q5" i="56" s="1"/>
  <c r="H5" i="56"/>
  <c r="I5" i="56" s="1"/>
  <c r="E19" i="52"/>
  <c r="K11" i="28"/>
  <c r="G18" i="52"/>
  <c r="E11" i="28"/>
  <c r="D18" i="52"/>
  <c r="I11" i="28"/>
  <c r="F18" i="52"/>
  <c r="D49" i="8"/>
  <c r="F7" i="52"/>
  <c r="D5" i="19"/>
  <c r="O13" i="32"/>
  <c r="D11" i="36"/>
  <c r="C39" i="15"/>
  <c r="K13" i="32"/>
  <c r="F13" i="32"/>
  <c r="M13" i="32"/>
  <c r="I13" i="32"/>
  <c r="L13" i="32"/>
  <c r="N13" i="32"/>
  <c r="H13" i="32"/>
  <c r="G13" i="32"/>
  <c r="J13" i="32"/>
  <c r="F39" i="8"/>
  <c r="D13" i="32"/>
  <c r="E13" i="32"/>
  <c r="C152" i="18"/>
  <c r="BP32" i="32"/>
  <c r="D27" i="14"/>
  <c r="F43" i="14"/>
  <c r="G43" i="14" s="1"/>
  <c r="R5" i="56" l="1"/>
  <c r="F19" i="52"/>
  <c r="P13" i="32"/>
  <c r="G7" i="52"/>
  <c r="F49" i="8"/>
  <c r="E11" i="36"/>
  <c r="D11" i="19"/>
  <c r="C40" i="15"/>
  <c r="W13" i="32"/>
  <c r="S13" i="32"/>
  <c r="V13" i="32"/>
  <c r="Z13" i="32"/>
  <c r="X13" i="32"/>
  <c r="T13" i="32"/>
  <c r="AA13" i="32"/>
  <c r="U13" i="32"/>
  <c r="Q13" i="32"/>
  <c r="AB13" i="32"/>
  <c r="Y13" i="32"/>
  <c r="R13" i="32"/>
  <c r="F40" i="8"/>
  <c r="D29" i="14"/>
  <c r="D33" i="14"/>
  <c r="D36" i="14" s="1"/>
  <c r="G19" i="52" l="1"/>
  <c r="F11" i="36"/>
  <c r="D17" i="19"/>
  <c r="C41" i="15"/>
  <c r="AJ13" i="32"/>
  <c r="AH13" i="32"/>
  <c r="AN13" i="32"/>
  <c r="AK13" i="32"/>
  <c r="AG13" i="32"/>
  <c r="AI13" i="32"/>
  <c r="AO13" i="32"/>
  <c r="AF13" i="32"/>
  <c r="AL13" i="32"/>
  <c r="AD13" i="32"/>
  <c r="AM13" i="32"/>
  <c r="AE13" i="32"/>
  <c r="D38" i="14"/>
  <c r="H112" i="1"/>
  <c r="J17" i="1"/>
  <c r="J29" i="1" s="1"/>
  <c r="J41" i="1" s="1"/>
  <c r="J53" i="1" s="1"/>
  <c r="H116" i="1" s="1"/>
  <c r="B110" i="2"/>
  <c r="B111" i="2"/>
  <c r="R42" i="3"/>
  <c r="Q6" i="3"/>
  <c r="U6" i="3" s="1"/>
  <c r="C17" i="8"/>
  <c r="C18" i="8" s="1"/>
  <c r="U57" i="1"/>
  <c r="D50" i="2"/>
  <c r="D51" i="2" s="1"/>
  <c r="D52" i="2" s="1"/>
  <c r="D53" i="2" s="1"/>
  <c r="D54" i="2" s="1"/>
  <c r="D55" i="2" s="1"/>
  <c r="D56" i="2" s="1"/>
  <c r="D57" i="2" s="1"/>
  <c r="D58" i="2" s="1"/>
  <c r="D59" i="2" s="1"/>
  <c r="D60" i="2" s="1"/>
  <c r="D61" i="2" s="1"/>
  <c r="D62" i="2" s="1"/>
  <c r="D63" i="2" s="1"/>
  <c r="D64" i="2" s="1"/>
  <c r="D65" i="2" s="1"/>
  <c r="D66" i="2" s="1"/>
  <c r="D67" i="2" s="1"/>
  <c r="D68" i="2" s="1"/>
  <c r="D69" i="2" s="1"/>
  <c r="D70" i="2" s="1"/>
  <c r="D71" i="2" s="1"/>
  <c r="D72" i="2" s="1"/>
  <c r="D73" i="2" s="1"/>
  <c r="D74" i="2" s="1"/>
  <c r="D75" i="2" s="1"/>
  <c r="D76" i="2" s="1"/>
  <c r="D77" i="2" s="1"/>
  <c r="D78" i="2" s="1"/>
  <c r="D79" i="2" s="1"/>
  <c r="D80" i="2" s="1"/>
  <c r="D81" i="2" s="1"/>
  <c r="D82" i="2" s="1"/>
  <c r="D83" i="2" s="1"/>
  <c r="D84" i="2" s="1"/>
  <c r="D85" i="2" s="1"/>
  <c r="D86" i="2" s="1"/>
  <c r="D87" i="2" s="1"/>
  <c r="D88" i="2" s="1"/>
  <c r="D89" i="2" s="1"/>
  <c r="D90" i="2" s="1"/>
  <c r="D91" i="2" s="1"/>
  <c r="D92" i="2" s="1"/>
  <c r="D93" i="2" s="1"/>
  <c r="D94" i="2" s="1"/>
  <c r="D95" i="2" s="1"/>
  <c r="D96" i="2" s="1"/>
  <c r="D97" i="2" s="1"/>
  <c r="D98" i="2" s="1"/>
  <c r="D99" i="2" s="1"/>
  <c r="D100" i="2" s="1"/>
  <c r="D101" i="2" s="1"/>
  <c r="D102" i="2" s="1"/>
  <c r="D103" i="2" s="1"/>
  <c r="D104" i="2" s="1"/>
  <c r="D105" i="2" s="1"/>
  <c r="D106" i="2" s="1"/>
  <c r="D107" i="2" s="1"/>
  <c r="D108" i="2" s="1"/>
  <c r="F62" i="2"/>
  <c r="G11" i="36" l="1"/>
  <c r="D23" i="19"/>
  <c r="C42" i="15"/>
  <c r="AQ13" i="32"/>
  <c r="AW13" i="32"/>
  <c r="AY13" i="32"/>
  <c r="AX13" i="32"/>
  <c r="AV13" i="32"/>
  <c r="AT13" i="32"/>
  <c r="BB13" i="32"/>
  <c r="AR13" i="32"/>
  <c r="BA13" i="32"/>
  <c r="AS13" i="32"/>
  <c r="AU13" i="32"/>
  <c r="AZ13" i="32"/>
  <c r="S9" i="3"/>
  <c r="S13" i="3"/>
  <c r="S17" i="3"/>
  <c r="S16" i="3"/>
  <c r="S10" i="3"/>
  <c r="S14" i="3"/>
  <c r="S6" i="3"/>
  <c r="S7" i="3"/>
  <c r="S15" i="3"/>
  <c r="S8" i="3"/>
  <c r="S11" i="3"/>
  <c r="S12" i="3"/>
  <c r="Q7" i="3"/>
  <c r="H114" i="1"/>
  <c r="H115" i="1"/>
  <c r="H113" i="1"/>
  <c r="C44" i="14"/>
  <c r="C45" i="14" s="1"/>
  <c r="C46" i="14" s="1"/>
  <c r="C48" i="14" s="1"/>
  <c r="U58" i="1"/>
  <c r="F74" i="2"/>
  <c r="F86" i="2"/>
  <c r="F98" i="2"/>
  <c r="F19" i="2"/>
  <c r="F50" i="2"/>
  <c r="G7" i="2"/>
  <c r="D51" i="14" l="1"/>
  <c r="J43" i="21"/>
  <c r="K43" i="21" s="1"/>
  <c r="D79" i="21" s="1"/>
  <c r="J41" i="21"/>
  <c r="K41" i="21" s="1"/>
  <c r="D63" i="21" s="1"/>
  <c r="J42" i="21"/>
  <c r="K42" i="21" s="1"/>
  <c r="D71" i="21" s="1"/>
  <c r="J38" i="21"/>
  <c r="K38" i="21" s="1"/>
  <c r="D39" i="21" s="1"/>
  <c r="J39" i="21"/>
  <c r="K39" i="21" s="1"/>
  <c r="D47" i="21" s="1"/>
  <c r="J40" i="21"/>
  <c r="K40" i="21" s="1"/>
  <c r="D55" i="21" s="1"/>
  <c r="H11" i="36"/>
  <c r="D29" i="19"/>
  <c r="BD13" i="32"/>
  <c r="BK13" i="32"/>
  <c r="BN13" i="32"/>
  <c r="BM13" i="32"/>
  <c r="BG13" i="32"/>
  <c r="BO13" i="32"/>
  <c r="BH13" i="32"/>
  <c r="BJ13" i="32"/>
  <c r="BL13" i="32"/>
  <c r="BE13" i="32"/>
  <c r="BI13" i="32"/>
  <c r="BF13" i="32"/>
  <c r="G19" i="2"/>
  <c r="F31" i="2"/>
  <c r="G31" i="2" s="1"/>
  <c r="D66" i="14"/>
  <c r="E66" i="14" s="1"/>
  <c r="D35" i="17" s="1"/>
  <c r="T7" i="3"/>
  <c r="S19" i="3"/>
  <c r="T19" i="3" s="1"/>
  <c r="S31" i="3"/>
  <c r="T31" i="3" s="1"/>
  <c r="S40" i="3"/>
  <c r="T40" i="3" s="1"/>
  <c r="S28" i="3"/>
  <c r="T28" i="3" s="1"/>
  <c r="T16" i="3"/>
  <c r="V7" i="3"/>
  <c r="Q8" i="3"/>
  <c r="U7" i="3"/>
  <c r="S35" i="3"/>
  <c r="T35" i="3" s="1"/>
  <c r="S23" i="3"/>
  <c r="T23" i="3" s="1"/>
  <c r="T11" i="3"/>
  <c r="T6" i="3"/>
  <c r="S18" i="3"/>
  <c r="T18" i="3" s="1"/>
  <c r="S30" i="3"/>
  <c r="T30" i="3" s="1"/>
  <c r="T17" i="3"/>
  <c r="S41" i="3"/>
  <c r="T41" i="3" s="1"/>
  <c r="S29" i="3"/>
  <c r="T29" i="3" s="1"/>
  <c r="S32" i="3"/>
  <c r="T32" i="3" s="1"/>
  <c r="S20" i="3"/>
  <c r="T20" i="3" s="1"/>
  <c r="T8" i="3"/>
  <c r="T14" i="3"/>
  <c r="S38" i="3"/>
  <c r="T38" i="3" s="1"/>
  <c r="S26" i="3"/>
  <c r="T26" i="3" s="1"/>
  <c r="T13" i="3"/>
  <c r="S37" i="3"/>
  <c r="T37" i="3" s="1"/>
  <c r="S25" i="3"/>
  <c r="T25" i="3" s="1"/>
  <c r="S36" i="3"/>
  <c r="T36" i="3" s="1"/>
  <c r="S24" i="3"/>
  <c r="T24" i="3" s="1"/>
  <c r="T12" i="3"/>
  <c r="T15" i="3"/>
  <c r="S39" i="3"/>
  <c r="T39" i="3" s="1"/>
  <c r="S27" i="3"/>
  <c r="T27" i="3" s="1"/>
  <c r="T10" i="3"/>
  <c r="S34" i="3"/>
  <c r="T34" i="3" s="1"/>
  <c r="S22" i="3"/>
  <c r="T22" i="3" s="1"/>
  <c r="T9" i="3"/>
  <c r="S33" i="3"/>
  <c r="T33" i="3" s="1"/>
  <c r="S21" i="3"/>
  <c r="T21" i="3" s="1"/>
  <c r="E51" i="14"/>
  <c r="D65" i="14"/>
  <c r="E65" i="14" s="1"/>
  <c r="D43" i="17" s="1"/>
  <c r="F64" i="2"/>
  <c r="F88" i="2"/>
  <c r="F76" i="2"/>
  <c r="F100" i="2"/>
  <c r="F70" i="2"/>
  <c r="F106" i="2"/>
  <c r="F94" i="2"/>
  <c r="F82" i="2"/>
  <c r="F71" i="2"/>
  <c r="F95" i="2"/>
  <c r="F83" i="2"/>
  <c r="F107" i="2"/>
  <c r="F68" i="2"/>
  <c r="F92" i="2"/>
  <c r="F80" i="2"/>
  <c r="F104" i="2"/>
  <c r="F105" i="2"/>
  <c r="F93" i="2"/>
  <c r="F81" i="2"/>
  <c r="F63" i="2"/>
  <c r="F87" i="2"/>
  <c r="F75" i="2"/>
  <c r="F99" i="2"/>
  <c r="F72" i="2"/>
  <c r="F96" i="2"/>
  <c r="F84" i="2"/>
  <c r="F108" i="2"/>
  <c r="F101" i="2"/>
  <c r="F89" i="2"/>
  <c r="F77" i="2"/>
  <c r="F66" i="2"/>
  <c r="F102" i="2"/>
  <c r="F90" i="2"/>
  <c r="F78" i="2"/>
  <c r="F67" i="2"/>
  <c r="F91" i="2"/>
  <c r="F79" i="2"/>
  <c r="F103" i="2"/>
  <c r="F61" i="2"/>
  <c r="F97" i="2"/>
  <c r="F85" i="2"/>
  <c r="F73" i="2"/>
  <c r="G14" i="2"/>
  <c r="F69" i="2"/>
  <c r="G10" i="2"/>
  <c r="F65" i="2"/>
  <c r="G16" i="2"/>
  <c r="F59" i="2"/>
  <c r="F28" i="2"/>
  <c r="F51" i="2"/>
  <c r="F20" i="2"/>
  <c r="G8" i="2"/>
  <c r="G17" i="2"/>
  <c r="F60" i="2"/>
  <c r="F29" i="2"/>
  <c r="F25" i="2"/>
  <c r="F56" i="2"/>
  <c r="G13" i="2"/>
  <c r="F23" i="2"/>
  <c r="F54" i="2"/>
  <c r="G11" i="2"/>
  <c r="F24" i="2"/>
  <c r="F55" i="2"/>
  <c r="G12" i="2"/>
  <c r="G18" i="2"/>
  <c r="F26" i="2"/>
  <c r="F57" i="2"/>
  <c r="F27" i="2"/>
  <c r="G15" i="2"/>
  <c r="F58" i="2"/>
  <c r="G9" i="2"/>
  <c r="F52" i="2"/>
  <c r="F21" i="2"/>
  <c r="F22" i="2"/>
  <c r="F53" i="2"/>
  <c r="E63" i="21" l="1"/>
  <c r="F63" i="21" s="1"/>
  <c r="C10" i="21" s="1"/>
  <c r="D64" i="21"/>
  <c r="E43" i="17"/>
  <c r="F43" i="17" s="1"/>
  <c r="C10" i="17" s="1"/>
  <c r="D10" i="17" s="1"/>
  <c r="D44" i="17"/>
  <c r="E47" i="21"/>
  <c r="F47" i="21" s="1"/>
  <c r="C8" i="21" s="1"/>
  <c r="D48" i="21"/>
  <c r="E79" i="21"/>
  <c r="F79" i="21" s="1"/>
  <c r="C12" i="21" s="1"/>
  <c r="D80" i="21"/>
  <c r="D72" i="21"/>
  <c r="E71" i="21"/>
  <c r="F71" i="21" s="1"/>
  <c r="C11" i="21" s="1"/>
  <c r="D11" i="21" s="1"/>
  <c r="D56" i="21"/>
  <c r="E55" i="21"/>
  <c r="F55" i="21" s="1"/>
  <c r="C9" i="21" s="1"/>
  <c r="E35" i="17"/>
  <c r="F35" i="17" s="1"/>
  <c r="D36" i="17"/>
  <c r="E39" i="21"/>
  <c r="F39" i="21" s="1"/>
  <c r="C7" i="21" s="1"/>
  <c r="D40" i="21"/>
  <c r="F51" i="14"/>
  <c r="D54" i="14" s="1"/>
  <c r="E54" i="14" s="1"/>
  <c r="C58" i="14" s="1"/>
  <c r="G27" i="2"/>
  <c r="F39" i="2"/>
  <c r="G39" i="2" s="1"/>
  <c r="G21" i="2"/>
  <c r="F33" i="2"/>
  <c r="G33" i="2" s="1"/>
  <c r="G28" i="2"/>
  <c r="F40" i="2"/>
  <c r="G40" i="2" s="1"/>
  <c r="G26" i="2"/>
  <c r="F38" i="2"/>
  <c r="G38" i="2" s="1"/>
  <c r="G24" i="2"/>
  <c r="F36" i="2"/>
  <c r="G36" i="2" s="1"/>
  <c r="G23" i="2"/>
  <c r="F35" i="2"/>
  <c r="G35" i="2" s="1"/>
  <c r="G29" i="2"/>
  <c r="F41" i="2"/>
  <c r="G41" i="2" s="1"/>
  <c r="G25" i="2"/>
  <c r="F37" i="2"/>
  <c r="G37" i="2" s="1"/>
  <c r="G22" i="2"/>
  <c r="F34" i="2"/>
  <c r="G34" i="2" s="1"/>
  <c r="G20" i="2"/>
  <c r="F32" i="2"/>
  <c r="G32" i="2" s="1"/>
  <c r="F65" i="14"/>
  <c r="F66" i="14"/>
  <c r="Q9" i="3"/>
  <c r="V8" i="3"/>
  <c r="U8" i="3"/>
  <c r="T42" i="3"/>
  <c r="V6" i="3"/>
  <c r="C26" i="21" l="1"/>
  <c r="D41" i="21"/>
  <c r="E40" i="21"/>
  <c r="F40" i="21" s="1"/>
  <c r="E7" i="21" s="1"/>
  <c r="U17" i="32" s="1"/>
  <c r="K19" i="32"/>
  <c r="D19" i="32"/>
  <c r="E19" i="32"/>
  <c r="O19" i="32"/>
  <c r="F19" i="32"/>
  <c r="I19" i="32"/>
  <c r="D9" i="21"/>
  <c r="H19" i="32"/>
  <c r="N19" i="32"/>
  <c r="M19" i="32"/>
  <c r="G19" i="32"/>
  <c r="L19" i="32"/>
  <c r="J19" i="32"/>
  <c r="D81" i="21"/>
  <c r="E80" i="21"/>
  <c r="F80" i="21" s="1"/>
  <c r="E12" i="21" s="1"/>
  <c r="D45" i="17"/>
  <c r="E44" i="17"/>
  <c r="F44" i="17" s="1"/>
  <c r="E10" i="17" s="1"/>
  <c r="F10" i="17" s="1"/>
  <c r="D37" i="17"/>
  <c r="E36" i="17"/>
  <c r="F36" i="17" s="1"/>
  <c r="E48" i="21"/>
  <c r="F48" i="21" s="1"/>
  <c r="E8" i="21" s="1"/>
  <c r="D49" i="21"/>
  <c r="E64" i="21"/>
  <c r="F64" i="21" s="1"/>
  <c r="E10" i="21" s="1"/>
  <c r="D65" i="21"/>
  <c r="G17" i="32"/>
  <c r="L17" i="32"/>
  <c r="E17" i="32"/>
  <c r="K17" i="32"/>
  <c r="D17" i="32"/>
  <c r="I17" i="32"/>
  <c r="O17" i="32"/>
  <c r="F17" i="32"/>
  <c r="J17" i="32"/>
  <c r="H17" i="32"/>
  <c r="N17" i="32"/>
  <c r="M17" i="32"/>
  <c r="E56" i="21"/>
  <c r="F56" i="21" s="1"/>
  <c r="E9" i="21" s="1"/>
  <c r="D57" i="21"/>
  <c r="D22" i="32"/>
  <c r="H22" i="32"/>
  <c r="L22" i="32"/>
  <c r="E22" i="32"/>
  <c r="M22" i="32"/>
  <c r="J22" i="32"/>
  <c r="G22" i="32"/>
  <c r="K22" i="32"/>
  <c r="O22" i="32"/>
  <c r="I22" i="32"/>
  <c r="F22" i="32"/>
  <c r="N22" i="32"/>
  <c r="D12" i="21"/>
  <c r="O15" i="32"/>
  <c r="L15" i="32"/>
  <c r="M15" i="32"/>
  <c r="C11" i="17"/>
  <c r="D11" i="17" s="1"/>
  <c r="D12" i="17" s="1"/>
  <c r="F15" i="32"/>
  <c r="D15" i="32"/>
  <c r="J15" i="32"/>
  <c r="G15" i="32"/>
  <c r="N15" i="32"/>
  <c r="E15" i="32"/>
  <c r="K15" i="32"/>
  <c r="H15" i="32"/>
  <c r="I15" i="32"/>
  <c r="E72" i="21"/>
  <c r="F72" i="21" s="1"/>
  <c r="E11" i="21" s="1"/>
  <c r="D73" i="21"/>
  <c r="D8" i="21"/>
  <c r="H18" i="32"/>
  <c r="N18" i="32"/>
  <c r="I18" i="32"/>
  <c r="G18" i="32"/>
  <c r="L18" i="32"/>
  <c r="E18" i="32"/>
  <c r="K18" i="32"/>
  <c r="D18" i="32"/>
  <c r="M18" i="32"/>
  <c r="O18" i="32"/>
  <c r="J18" i="32"/>
  <c r="F18" i="32"/>
  <c r="F21" i="32"/>
  <c r="K20" i="32"/>
  <c r="G21" i="32"/>
  <c r="L20" i="32"/>
  <c r="E20" i="32"/>
  <c r="E21" i="32"/>
  <c r="J21" i="32"/>
  <c r="O20" i="32"/>
  <c r="K21" i="32"/>
  <c r="D20" i="32"/>
  <c r="M20" i="32"/>
  <c r="J20" i="32"/>
  <c r="N21" i="32"/>
  <c r="L21" i="32"/>
  <c r="O21" i="32"/>
  <c r="H21" i="32"/>
  <c r="M21" i="32"/>
  <c r="I21" i="32"/>
  <c r="D10" i="21"/>
  <c r="G20" i="32"/>
  <c r="I20" i="32"/>
  <c r="H20" i="32"/>
  <c r="D21" i="32"/>
  <c r="F20" i="32"/>
  <c r="N20" i="32"/>
  <c r="D6" i="19"/>
  <c r="C59" i="14"/>
  <c r="D70" i="14"/>
  <c r="E70" i="14" s="1"/>
  <c r="D71" i="14"/>
  <c r="CA6" i="37"/>
  <c r="CB6" i="37" s="1"/>
  <c r="BR26" i="37"/>
  <c r="BS26" i="37" s="1"/>
  <c r="BR25" i="37"/>
  <c r="BS25" i="37" s="1"/>
  <c r="CA5" i="37"/>
  <c r="CB5" i="37" s="1"/>
  <c r="G42" i="2"/>
  <c r="D7" i="21"/>
  <c r="AA17" i="32"/>
  <c r="T17" i="32"/>
  <c r="Q10" i="3"/>
  <c r="U9" i="3"/>
  <c r="V9" i="3"/>
  <c r="D7" i="2"/>
  <c r="Y17" i="32" l="1"/>
  <c r="Q17" i="32"/>
  <c r="E26" i="21"/>
  <c r="F7" i="21"/>
  <c r="V17" i="32"/>
  <c r="X17" i="32"/>
  <c r="Z17" i="32"/>
  <c r="W17" i="32"/>
  <c r="S17" i="32"/>
  <c r="J7" i="56"/>
  <c r="J6" i="56"/>
  <c r="J5" i="56"/>
  <c r="J10" i="56"/>
  <c r="J9" i="56"/>
  <c r="J12" i="56"/>
  <c r="J11" i="56"/>
  <c r="J8" i="56"/>
  <c r="P15" i="32"/>
  <c r="P22" i="32"/>
  <c r="P17" i="32"/>
  <c r="P19" i="32"/>
  <c r="C12" i="17"/>
  <c r="D22" i="17" s="1"/>
  <c r="R17" i="32"/>
  <c r="AB17" i="32"/>
  <c r="X20" i="32"/>
  <c r="U20" i="32"/>
  <c r="AA20" i="32"/>
  <c r="AB20" i="32"/>
  <c r="Y20" i="32"/>
  <c r="S20" i="32"/>
  <c r="F10" i="21"/>
  <c r="R20" i="32"/>
  <c r="Q20" i="32"/>
  <c r="W20" i="32"/>
  <c r="T20" i="32"/>
  <c r="Z20" i="32"/>
  <c r="V20" i="32"/>
  <c r="P21" i="32"/>
  <c r="D74" i="21"/>
  <c r="E73" i="21"/>
  <c r="F73" i="21" s="1"/>
  <c r="G11" i="21" s="1"/>
  <c r="E57" i="21"/>
  <c r="F57" i="21" s="1"/>
  <c r="G9" i="21" s="1"/>
  <c r="D58" i="21"/>
  <c r="D50" i="21"/>
  <c r="E49" i="21"/>
  <c r="F49" i="21" s="1"/>
  <c r="G8" i="21" s="1"/>
  <c r="P20" i="32"/>
  <c r="W21" i="32"/>
  <c r="X21" i="32"/>
  <c r="V21" i="32"/>
  <c r="AA21" i="32"/>
  <c r="AB21" i="32"/>
  <c r="Z21" i="32"/>
  <c r="F11" i="21"/>
  <c r="Y21" i="32"/>
  <c r="U21" i="32"/>
  <c r="R21" i="32"/>
  <c r="S21" i="32"/>
  <c r="T21" i="32"/>
  <c r="Q21" i="32"/>
  <c r="AB19" i="32"/>
  <c r="W19" i="32"/>
  <c r="AA19" i="32"/>
  <c r="F9" i="21"/>
  <c r="U19" i="32"/>
  <c r="R19" i="32"/>
  <c r="V19" i="32"/>
  <c r="T19" i="32"/>
  <c r="Y19" i="32"/>
  <c r="Z19" i="32"/>
  <c r="X19" i="32"/>
  <c r="Q19" i="32"/>
  <c r="S19" i="32"/>
  <c r="T18" i="32"/>
  <c r="Y18" i="32"/>
  <c r="R18" i="32"/>
  <c r="X18" i="32"/>
  <c r="Q18" i="32"/>
  <c r="Z18" i="32"/>
  <c r="AB18" i="32"/>
  <c r="W18" i="32"/>
  <c r="AA18" i="32"/>
  <c r="F8" i="21"/>
  <c r="U18" i="32"/>
  <c r="S18" i="32"/>
  <c r="V18" i="32"/>
  <c r="D46" i="17"/>
  <c r="E45" i="17"/>
  <c r="F45" i="17" s="1"/>
  <c r="G10" i="17" s="1"/>
  <c r="P18" i="32"/>
  <c r="E37" i="17"/>
  <c r="F37" i="17" s="1"/>
  <c r="D38" i="17"/>
  <c r="D82" i="21"/>
  <c r="E81" i="21"/>
  <c r="F81" i="21" s="1"/>
  <c r="G12" i="21" s="1"/>
  <c r="E12" i="17"/>
  <c r="D24" i="17" s="1"/>
  <c r="E65" i="21"/>
  <c r="F65" i="21" s="1"/>
  <c r="G10" i="21" s="1"/>
  <c r="D66" i="21"/>
  <c r="AB15" i="32"/>
  <c r="Q15" i="32"/>
  <c r="Z15" i="32"/>
  <c r="E11" i="17"/>
  <c r="F11" i="17" s="1"/>
  <c r="F12" i="17" s="1"/>
  <c r="E13" i="36" s="1"/>
  <c r="W15" i="32"/>
  <c r="AA15" i="32"/>
  <c r="S15" i="32"/>
  <c r="T15" i="32"/>
  <c r="U15" i="32"/>
  <c r="R15" i="32"/>
  <c r="X15" i="32"/>
  <c r="Y15" i="32"/>
  <c r="V15" i="32"/>
  <c r="F12" i="21"/>
  <c r="V22" i="32"/>
  <c r="S22" i="32"/>
  <c r="X22" i="32"/>
  <c r="Q22" i="32"/>
  <c r="AA22" i="32"/>
  <c r="Y22" i="32"/>
  <c r="W22" i="32"/>
  <c r="AB22" i="32"/>
  <c r="R22" i="32"/>
  <c r="Z22" i="32"/>
  <c r="U22" i="32"/>
  <c r="T22" i="32"/>
  <c r="D42" i="21"/>
  <c r="E41" i="21"/>
  <c r="F41" i="21" s="1"/>
  <c r="G7" i="21" s="1"/>
  <c r="D12" i="36"/>
  <c r="F70" i="14"/>
  <c r="C60" i="14"/>
  <c r="D12" i="19"/>
  <c r="CB7" i="37"/>
  <c r="E71" i="14"/>
  <c r="D72" i="14"/>
  <c r="D8" i="2"/>
  <c r="I8" i="2" s="1"/>
  <c r="I7" i="2"/>
  <c r="C8" i="28"/>
  <c r="D13" i="36"/>
  <c r="D25" i="17"/>
  <c r="D23" i="17"/>
  <c r="Q11" i="3"/>
  <c r="U10" i="3"/>
  <c r="V10" i="3"/>
  <c r="H7" i="2"/>
  <c r="D9" i="2"/>
  <c r="I9" i="2" s="1"/>
  <c r="G26" i="21" l="1"/>
  <c r="J19" i="56"/>
  <c r="L9" i="56"/>
  <c r="S9" i="56" s="1"/>
  <c r="U9" i="56" s="1"/>
  <c r="J17" i="56"/>
  <c r="L7" i="56"/>
  <c r="S7" i="56" s="1"/>
  <c r="U7" i="56" s="1"/>
  <c r="AC17" i="32"/>
  <c r="J18" i="56"/>
  <c r="L8" i="56"/>
  <c r="J20" i="56"/>
  <c r="L10" i="56"/>
  <c r="S10" i="56" s="1"/>
  <c r="U10" i="56" s="1"/>
  <c r="J21" i="56"/>
  <c r="L11" i="56"/>
  <c r="S11" i="56" s="1"/>
  <c r="U11" i="56" s="1"/>
  <c r="J15" i="56"/>
  <c r="L5" i="56"/>
  <c r="S5" i="56" s="1"/>
  <c r="J22" i="56"/>
  <c r="L12" i="56"/>
  <c r="S12" i="56" s="1"/>
  <c r="U12" i="56" s="1"/>
  <c r="J16" i="56"/>
  <c r="L6" i="56"/>
  <c r="S6" i="56" s="1"/>
  <c r="U6" i="56" s="1"/>
  <c r="AC15" i="32"/>
  <c r="AC19" i="32"/>
  <c r="AC21" i="32"/>
  <c r="H8" i="2"/>
  <c r="E8" i="28"/>
  <c r="D43" i="21"/>
  <c r="E43" i="21" s="1"/>
  <c r="F43" i="21" s="1"/>
  <c r="K7" i="21" s="1"/>
  <c r="E42" i="21"/>
  <c r="F42" i="21" s="1"/>
  <c r="I7" i="21" s="1"/>
  <c r="AF20" i="32"/>
  <c r="AL20" i="32"/>
  <c r="AH20" i="32"/>
  <c r="AJ20" i="32"/>
  <c r="AG20" i="32"/>
  <c r="AI20" i="32"/>
  <c r="AN20" i="32"/>
  <c r="AK20" i="32"/>
  <c r="AE20" i="32"/>
  <c r="H10" i="21"/>
  <c r="AD20" i="32"/>
  <c r="AO20" i="32"/>
  <c r="AM20" i="32"/>
  <c r="D83" i="21"/>
  <c r="E83" i="21" s="1"/>
  <c r="F83" i="21" s="1"/>
  <c r="K12" i="21" s="1"/>
  <c r="E82" i="21"/>
  <c r="F82" i="21" s="1"/>
  <c r="I12" i="21" s="1"/>
  <c r="H10" i="17"/>
  <c r="D51" i="21"/>
  <c r="E51" i="21" s="1"/>
  <c r="F51" i="21" s="1"/>
  <c r="K8" i="21" s="1"/>
  <c r="E50" i="21"/>
  <c r="F50" i="21" s="1"/>
  <c r="I8" i="21" s="1"/>
  <c r="D75" i="21"/>
  <c r="E75" i="21" s="1"/>
  <c r="F75" i="21" s="1"/>
  <c r="K11" i="21" s="1"/>
  <c r="E74" i="21"/>
  <c r="F74" i="21" s="1"/>
  <c r="I11" i="21" s="1"/>
  <c r="AC22" i="32"/>
  <c r="E38" i="17"/>
  <c r="F38" i="17" s="1"/>
  <c r="D39" i="17"/>
  <c r="E39" i="17" s="1"/>
  <c r="F39" i="17" s="1"/>
  <c r="D47" i="17"/>
  <c r="E47" i="17" s="1"/>
  <c r="F47" i="17" s="1"/>
  <c r="K10" i="17" s="1"/>
  <c r="E46" i="17"/>
  <c r="F46" i="17" s="1"/>
  <c r="I10" i="17" s="1"/>
  <c r="D59" i="21"/>
  <c r="E59" i="21" s="1"/>
  <c r="F59" i="21" s="1"/>
  <c r="K9" i="21" s="1"/>
  <c r="E58" i="21"/>
  <c r="F58" i="21" s="1"/>
  <c r="I9" i="21" s="1"/>
  <c r="AE15" i="32"/>
  <c r="G11" i="17"/>
  <c r="H11" i="17" s="1"/>
  <c r="AF15" i="32"/>
  <c r="AN15" i="32"/>
  <c r="AJ15" i="32"/>
  <c r="AG15" i="32"/>
  <c r="AH15" i="32"/>
  <c r="AK15" i="32"/>
  <c r="AL15" i="32"/>
  <c r="AI15" i="32"/>
  <c r="AO15" i="32"/>
  <c r="AD15" i="32"/>
  <c r="AM15" i="32"/>
  <c r="AC18" i="32"/>
  <c r="AK19" i="32"/>
  <c r="AD19" i="32"/>
  <c r="AI19" i="32"/>
  <c r="AO19" i="32"/>
  <c r="AF19" i="32"/>
  <c r="AJ19" i="32"/>
  <c r="H9" i="21"/>
  <c r="AH19" i="32"/>
  <c r="AN19" i="32"/>
  <c r="AE19" i="32"/>
  <c r="AG19" i="32"/>
  <c r="AL19" i="32"/>
  <c r="AM19" i="32"/>
  <c r="AJ17" i="32"/>
  <c r="AG17" i="32"/>
  <c r="AD17" i="32"/>
  <c r="AF17" i="32"/>
  <c r="AH17" i="32"/>
  <c r="AI17" i="32"/>
  <c r="AN17" i="32"/>
  <c r="AO17" i="32"/>
  <c r="AL17" i="32"/>
  <c r="AK17" i="32"/>
  <c r="AE17" i="32"/>
  <c r="AM17" i="32"/>
  <c r="H7" i="21"/>
  <c r="H26" i="21" s="1"/>
  <c r="D67" i="21"/>
  <c r="E67" i="21" s="1"/>
  <c r="F67" i="21" s="1"/>
  <c r="K10" i="21" s="1"/>
  <c r="E66" i="21"/>
  <c r="F66" i="21" s="1"/>
  <c r="I10" i="21" s="1"/>
  <c r="AE22" i="32"/>
  <c r="AF22" i="32"/>
  <c r="AG22" i="32"/>
  <c r="AI22" i="32"/>
  <c r="AJ22" i="32"/>
  <c r="AK22" i="32"/>
  <c r="AM22" i="32"/>
  <c r="AN22" i="32"/>
  <c r="AO22" i="32"/>
  <c r="AH22" i="32"/>
  <c r="AL22" i="32"/>
  <c r="AD22" i="32"/>
  <c r="H12" i="21"/>
  <c r="AG18" i="32"/>
  <c r="AL18" i="32"/>
  <c r="AM18" i="32"/>
  <c r="AK18" i="32"/>
  <c r="AD18" i="32"/>
  <c r="AI18" i="32"/>
  <c r="AO18" i="32"/>
  <c r="AF18" i="32"/>
  <c r="AJ18" i="32"/>
  <c r="H8" i="21"/>
  <c r="AH18" i="32"/>
  <c r="AN18" i="32"/>
  <c r="AE18" i="32"/>
  <c r="AG21" i="32"/>
  <c r="AL21" i="32"/>
  <c r="AM21" i="32"/>
  <c r="AK21" i="32"/>
  <c r="AD21" i="32"/>
  <c r="AF21" i="32"/>
  <c r="AO21" i="32"/>
  <c r="AE21" i="32"/>
  <c r="AJ21" i="32"/>
  <c r="AH21" i="32"/>
  <c r="AI21" i="32"/>
  <c r="AN21" i="32"/>
  <c r="H11" i="21"/>
  <c r="AC20" i="32"/>
  <c r="F14" i="32"/>
  <c r="J14" i="32"/>
  <c r="N14" i="32"/>
  <c r="I14" i="32"/>
  <c r="G14" i="32"/>
  <c r="K14" i="32"/>
  <c r="O14" i="32"/>
  <c r="M14" i="32"/>
  <c r="H14" i="32"/>
  <c r="L14" i="32"/>
  <c r="D14" i="32"/>
  <c r="E14" i="32"/>
  <c r="F71" i="14"/>
  <c r="E12" i="36"/>
  <c r="D18" i="19"/>
  <c r="C61" i="14"/>
  <c r="E72" i="14"/>
  <c r="D73" i="14"/>
  <c r="Q12" i="3"/>
  <c r="V11" i="3"/>
  <c r="U11" i="3"/>
  <c r="D10" i="2"/>
  <c r="H9" i="2"/>
  <c r="K26" i="21" l="1"/>
  <c r="I26" i="21"/>
  <c r="J26" i="56"/>
  <c r="L16" i="56"/>
  <c r="S16" i="56" s="1"/>
  <c r="U16" i="56" s="1"/>
  <c r="J25" i="56"/>
  <c r="L15" i="56"/>
  <c r="S15" i="56" s="1"/>
  <c r="J30" i="56"/>
  <c r="L20" i="56"/>
  <c r="S20" i="56" s="1"/>
  <c r="U20" i="56" s="1"/>
  <c r="J27" i="56"/>
  <c r="L17" i="56"/>
  <c r="S17" i="56" s="1"/>
  <c r="U17" i="56" s="1"/>
  <c r="J32" i="56"/>
  <c r="L22" i="56"/>
  <c r="S22" i="56" s="1"/>
  <c r="U22" i="56" s="1"/>
  <c r="J31" i="56"/>
  <c r="L21" i="56"/>
  <c r="S21" i="56" s="1"/>
  <c r="U21" i="56" s="1"/>
  <c r="J28" i="56"/>
  <c r="L18" i="56"/>
  <c r="U5" i="56"/>
  <c r="T5" i="56"/>
  <c r="J29" i="56"/>
  <c r="L19" i="56"/>
  <c r="S19" i="56" s="1"/>
  <c r="U19" i="56" s="1"/>
  <c r="AP22" i="32"/>
  <c r="AP20" i="32"/>
  <c r="H12" i="17"/>
  <c r="F13" i="36" s="1"/>
  <c r="F14" i="36"/>
  <c r="G12" i="17"/>
  <c r="D26" i="17" s="1"/>
  <c r="J10" i="21"/>
  <c r="AZ20" i="32"/>
  <c r="AQ20" i="32"/>
  <c r="AW20" i="32"/>
  <c r="AT20" i="32"/>
  <c r="AR20" i="32"/>
  <c r="BA20" i="32"/>
  <c r="AX20" i="32"/>
  <c r="AV20" i="32"/>
  <c r="AU20" i="32"/>
  <c r="BB20" i="32"/>
  <c r="AS20" i="32"/>
  <c r="AY20" i="32"/>
  <c r="BG19" i="32"/>
  <c r="BI19" i="32"/>
  <c r="BH19" i="32"/>
  <c r="BO19" i="32"/>
  <c r="BL19" i="32"/>
  <c r="BN19" i="32"/>
  <c r="L9" i="21"/>
  <c r="BE19" i="32"/>
  <c r="BD19" i="32"/>
  <c r="BJ19" i="32"/>
  <c r="BM19" i="32"/>
  <c r="BK19" i="32"/>
  <c r="BF19" i="32"/>
  <c r="BB15" i="32"/>
  <c r="AQ15" i="32"/>
  <c r="AS15" i="32"/>
  <c r="AU15" i="32"/>
  <c r="AY15" i="32"/>
  <c r="I11" i="17"/>
  <c r="J11" i="17" s="1"/>
  <c r="AW15" i="32"/>
  <c r="AR15" i="32"/>
  <c r="BA15" i="32"/>
  <c r="AT15" i="32"/>
  <c r="AV15" i="32"/>
  <c r="AX15" i="32"/>
  <c r="AZ15" i="32"/>
  <c r="AY18" i="32"/>
  <c r="AQ18" i="32"/>
  <c r="BB18" i="32"/>
  <c r="AW18" i="32"/>
  <c r="AS18" i="32"/>
  <c r="J8" i="21"/>
  <c r="AU18" i="32"/>
  <c r="AV18" i="32"/>
  <c r="BA18" i="32"/>
  <c r="AT18" i="32"/>
  <c r="AR18" i="32"/>
  <c r="AX18" i="32"/>
  <c r="AZ18" i="32"/>
  <c r="BB22" i="32"/>
  <c r="AU22" i="32"/>
  <c r="AQ22" i="32"/>
  <c r="AT22" i="32"/>
  <c r="AR22" i="32"/>
  <c r="AX22" i="32"/>
  <c r="AW22" i="32"/>
  <c r="AV22" i="32"/>
  <c r="AZ22" i="32"/>
  <c r="AS22" i="32"/>
  <c r="BA22" i="32"/>
  <c r="AY22" i="32"/>
  <c r="J12" i="21"/>
  <c r="BD17" i="32"/>
  <c r="BG17" i="32"/>
  <c r="BO17" i="32"/>
  <c r="BN17" i="32"/>
  <c r="BL17" i="32"/>
  <c r="BF17" i="32"/>
  <c r="BH17" i="32"/>
  <c r="BJ17" i="32"/>
  <c r="BM17" i="32"/>
  <c r="BK17" i="32"/>
  <c r="BE17" i="32"/>
  <c r="BI17" i="32"/>
  <c r="L7" i="21"/>
  <c r="AP21" i="32"/>
  <c r="BH20" i="32"/>
  <c r="BF20" i="32"/>
  <c r="BG20" i="32"/>
  <c r="BD20" i="32"/>
  <c r="BJ20" i="32"/>
  <c r="BK20" i="32"/>
  <c r="BE20" i="32"/>
  <c r="BN20" i="32"/>
  <c r="BO20" i="32"/>
  <c r="BI20" i="32"/>
  <c r="L10" i="21"/>
  <c r="BL20" i="32"/>
  <c r="BM20" i="32"/>
  <c r="AP17" i="32"/>
  <c r="D27" i="17"/>
  <c r="J10" i="17"/>
  <c r="BK18" i="32"/>
  <c r="BI18" i="32"/>
  <c r="BO18" i="32"/>
  <c r="BF18" i="32"/>
  <c r="BJ18" i="32"/>
  <c r="L8" i="21"/>
  <c r="BH18" i="32"/>
  <c r="BN18" i="32"/>
  <c r="BM18" i="32"/>
  <c r="BG18" i="32"/>
  <c r="BL18" i="32"/>
  <c r="BE18" i="32"/>
  <c r="BD18" i="32"/>
  <c r="BG22" i="32"/>
  <c r="BN22" i="32"/>
  <c r="BD22" i="32"/>
  <c r="BE22" i="32"/>
  <c r="BK22" i="32"/>
  <c r="BI22" i="32"/>
  <c r="BH22" i="32"/>
  <c r="BM22" i="32"/>
  <c r="BL22" i="32"/>
  <c r="BO22" i="32"/>
  <c r="BF22" i="32"/>
  <c r="BJ22" i="32"/>
  <c r="L12" i="21"/>
  <c r="AP18" i="32"/>
  <c r="L10" i="17"/>
  <c r="BA21" i="32"/>
  <c r="BB21" i="32"/>
  <c r="AR21" i="32"/>
  <c r="AS21" i="32"/>
  <c r="AW21" i="32"/>
  <c r="AZ21" i="32"/>
  <c r="J11" i="21"/>
  <c r="AT21" i="32"/>
  <c r="AU21" i="32"/>
  <c r="AV21" i="32"/>
  <c r="AX21" i="32"/>
  <c r="AY21" i="32"/>
  <c r="AQ21" i="32"/>
  <c r="AP19" i="32"/>
  <c r="AP15" i="32"/>
  <c r="BB19" i="32"/>
  <c r="AQ19" i="32"/>
  <c r="AZ19" i="32"/>
  <c r="J9" i="21"/>
  <c r="AT19" i="32"/>
  <c r="AU19" i="32"/>
  <c r="AW19" i="32"/>
  <c r="AX19" i="32"/>
  <c r="AY19" i="32"/>
  <c r="AS19" i="32"/>
  <c r="AV19" i="32"/>
  <c r="AR19" i="32"/>
  <c r="BA19" i="32"/>
  <c r="K11" i="17"/>
  <c r="L11" i="17" s="1"/>
  <c r="BN15" i="32"/>
  <c r="BJ15" i="32"/>
  <c r="BF15" i="32"/>
  <c r="BK15" i="32"/>
  <c r="BI15" i="32"/>
  <c r="BO15" i="32"/>
  <c r="BM15" i="32"/>
  <c r="BG15" i="32"/>
  <c r="BH15" i="32"/>
  <c r="BE15" i="32"/>
  <c r="BL15" i="32"/>
  <c r="BD15" i="32"/>
  <c r="BL21" i="32"/>
  <c r="BO21" i="32"/>
  <c r="BD21" i="32"/>
  <c r="BF21" i="32"/>
  <c r="L11" i="21"/>
  <c r="BI21" i="32"/>
  <c r="BE21" i="32"/>
  <c r="BJ21" i="32"/>
  <c r="BG21" i="32"/>
  <c r="BH21" i="32"/>
  <c r="BM21" i="32"/>
  <c r="BK21" i="32"/>
  <c r="BN21" i="32"/>
  <c r="AR17" i="32"/>
  <c r="AS17" i="32"/>
  <c r="AV17" i="32"/>
  <c r="AW17" i="32"/>
  <c r="AU17" i="32"/>
  <c r="AY17" i="32"/>
  <c r="AQ17" i="32"/>
  <c r="BA17" i="32"/>
  <c r="AX17" i="32"/>
  <c r="AT17" i="32"/>
  <c r="AZ17" i="32"/>
  <c r="J7" i="21"/>
  <c r="BB17" i="32"/>
  <c r="P14" i="32"/>
  <c r="F72" i="14"/>
  <c r="F12" i="36"/>
  <c r="S14" i="32"/>
  <c r="W14" i="32"/>
  <c r="AA14" i="32"/>
  <c r="V14" i="32"/>
  <c r="T14" i="32"/>
  <c r="X14" i="32"/>
  <c r="AB14" i="32"/>
  <c r="R14" i="32"/>
  <c r="U14" i="32"/>
  <c r="Y14" i="32"/>
  <c r="Q14" i="32"/>
  <c r="Z14" i="32"/>
  <c r="D24" i="19"/>
  <c r="C62" i="14"/>
  <c r="D30" i="19" s="1"/>
  <c r="D74" i="14"/>
  <c r="E74" i="14" s="1"/>
  <c r="E73" i="14"/>
  <c r="I10" i="2"/>
  <c r="Q13" i="3"/>
  <c r="V12" i="3"/>
  <c r="U12" i="3"/>
  <c r="D11" i="2"/>
  <c r="I11" i="2" s="1"/>
  <c r="H10" i="2"/>
  <c r="L26" i="21" l="1"/>
  <c r="J26" i="21"/>
  <c r="C32" i="21"/>
  <c r="J39" i="56"/>
  <c r="L29" i="56"/>
  <c r="S29" i="56" s="1"/>
  <c r="U29" i="56" s="1"/>
  <c r="J38" i="56"/>
  <c r="L28" i="56"/>
  <c r="J42" i="56"/>
  <c r="L32" i="56"/>
  <c r="S32" i="56" s="1"/>
  <c r="U32" i="56" s="1"/>
  <c r="J40" i="56"/>
  <c r="L30" i="56"/>
  <c r="S30" i="56" s="1"/>
  <c r="U30" i="56" s="1"/>
  <c r="J36" i="56"/>
  <c r="L26" i="56"/>
  <c r="S26" i="56" s="1"/>
  <c r="U26" i="56" s="1"/>
  <c r="G9" i="28"/>
  <c r="U15" i="56"/>
  <c r="T15" i="56"/>
  <c r="G63" i="56" s="1"/>
  <c r="J41" i="56"/>
  <c r="L31" i="56"/>
  <c r="S31" i="56" s="1"/>
  <c r="U31" i="56" s="1"/>
  <c r="J37" i="56"/>
  <c r="L27" i="56"/>
  <c r="S27" i="56" s="1"/>
  <c r="U27" i="56" s="1"/>
  <c r="J35" i="56"/>
  <c r="L25" i="56"/>
  <c r="S25" i="56" s="1"/>
  <c r="C33" i="21"/>
  <c r="G8" i="28"/>
  <c r="BP18" i="32"/>
  <c r="BP15" i="32"/>
  <c r="L12" i="17"/>
  <c r="BC21" i="32"/>
  <c r="J12" i="17"/>
  <c r="BC15" i="32"/>
  <c r="BP21" i="32"/>
  <c r="K12" i="17"/>
  <c r="D30" i="17" s="1"/>
  <c r="BP22" i="32"/>
  <c r="I12" i="17"/>
  <c r="D28" i="17" s="1"/>
  <c r="BC22" i="32"/>
  <c r="BC20" i="32"/>
  <c r="H13" i="36"/>
  <c r="K8" i="28"/>
  <c r="D31" i="17"/>
  <c r="BC19" i="32"/>
  <c r="BP20" i="32"/>
  <c r="G14" i="36"/>
  <c r="I9" i="28"/>
  <c r="BP17" i="32"/>
  <c r="BP19" i="32"/>
  <c r="BC17" i="32"/>
  <c r="BC18" i="32"/>
  <c r="H12" i="36"/>
  <c r="F74" i="14"/>
  <c r="AF14" i="32"/>
  <c r="AJ14" i="32"/>
  <c r="AN14" i="32"/>
  <c r="AE14" i="32"/>
  <c r="AI14" i="32"/>
  <c r="AG14" i="32"/>
  <c r="AK14" i="32"/>
  <c r="AO14" i="32"/>
  <c r="AH14" i="32"/>
  <c r="AL14" i="32"/>
  <c r="AD14" i="32"/>
  <c r="AM14" i="32"/>
  <c r="G12" i="36"/>
  <c r="F73" i="14"/>
  <c r="AC14" i="32"/>
  <c r="Q14" i="3"/>
  <c r="U13" i="3"/>
  <c r="V13" i="3"/>
  <c r="D12" i="2"/>
  <c r="I12" i="2" s="1"/>
  <c r="H11" i="2"/>
  <c r="J47" i="56" l="1"/>
  <c r="L47" i="56" s="1"/>
  <c r="S47" i="56" s="1"/>
  <c r="U47" i="56" s="1"/>
  <c r="L37" i="56"/>
  <c r="S37" i="56" s="1"/>
  <c r="U37" i="56" s="1"/>
  <c r="U25" i="56"/>
  <c r="T25" i="56"/>
  <c r="G71" i="56" s="1"/>
  <c r="J50" i="56"/>
  <c r="L50" i="56" s="1"/>
  <c r="S50" i="56" s="1"/>
  <c r="U50" i="56" s="1"/>
  <c r="L40" i="56"/>
  <c r="S40" i="56" s="1"/>
  <c r="U40" i="56" s="1"/>
  <c r="J48" i="56"/>
  <c r="L48" i="56" s="1"/>
  <c r="L38" i="56"/>
  <c r="J45" i="56"/>
  <c r="L45" i="56" s="1"/>
  <c r="S45" i="56" s="1"/>
  <c r="L35" i="56"/>
  <c r="S35" i="56" s="1"/>
  <c r="J51" i="56"/>
  <c r="L51" i="56" s="1"/>
  <c r="S51" i="56" s="1"/>
  <c r="U51" i="56" s="1"/>
  <c r="L41" i="56"/>
  <c r="S41" i="56" s="1"/>
  <c r="U41" i="56" s="1"/>
  <c r="J46" i="56"/>
  <c r="L46" i="56" s="1"/>
  <c r="S46" i="56" s="1"/>
  <c r="U46" i="56" s="1"/>
  <c r="L36" i="56"/>
  <c r="S36" i="56" s="1"/>
  <c r="U36" i="56" s="1"/>
  <c r="J52" i="56"/>
  <c r="L52" i="56" s="1"/>
  <c r="S52" i="56" s="1"/>
  <c r="U52" i="56" s="1"/>
  <c r="L42" i="56"/>
  <c r="S42" i="56" s="1"/>
  <c r="U42" i="56" s="1"/>
  <c r="J49" i="56"/>
  <c r="L49" i="56" s="1"/>
  <c r="S49" i="56" s="1"/>
  <c r="U49" i="56" s="1"/>
  <c r="L39" i="56"/>
  <c r="S39" i="56" s="1"/>
  <c r="U39" i="56" s="1"/>
  <c r="H14" i="36"/>
  <c r="K9" i="28"/>
  <c r="C34" i="21"/>
  <c r="G13" i="36"/>
  <c r="D29" i="17"/>
  <c r="I8" i="28"/>
  <c r="AS14" i="32"/>
  <c r="AW14" i="32"/>
  <c r="BA14" i="32"/>
  <c r="AR14" i="32"/>
  <c r="AT14" i="32"/>
  <c r="AX14" i="32"/>
  <c r="BB14" i="32"/>
  <c r="AU14" i="32"/>
  <c r="AY14" i="32"/>
  <c r="AQ14" i="32"/>
  <c r="AV14" i="32"/>
  <c r="AZ14" i="32"/>
  <c r="BF14" i="32"/>
  <c r="BJ14" i="32"/>
  <c r="BN14" i="32"/>
  <c r="BE14" i="32"/>
  <c r="BG14" i="32"/>
  <c r="BK14" i="32"/>
  <c r="BO14" i="32"/>
  <c r="BI14" i="32"/>
  <c r="BH14" i="32"/>
  <c r="BL14" i="32"/>
  <c r="BD14" i="32"/>
  <c r="BM14" i="32"/>
  <c r="AP14" i="32"/>
  <c r="Q15" i="3"/>
  <c r="U14" i="3"/>
  <c r="V14" i="3"/>
  <c r="D13" i="2"/>
  <c r="I13" i="2" s="1"/>
  <c r="H12" i="2"/>
  <c r="U45" i="56" l="1"/>
  <c r="T45" i="56"/>
  <c r="G87" i="56" s="1"/>
  <c r="U35" i="56"/>
  <c r="T35" i="56"/>
  <c r="G79" i="56" s="1"/>
  <c r="BP14" i="32"/>
  <c r="BC14" i="32"/>
  <c r="Q16" i="3"/>
  <c r="V15" i="3"/>
  <c r="U15" i="3"/>
  <c r="D14" i="2"/>
  <c r="H13" i="2"/>
  <c r="I14" i="2" l="1"/>
  <c r="Q17" i="3"/>
  <c r="V16" i="3"/>
  <c r="U16" i="3"/>
  <c r="D15" i="2"/>
  <c r="I15" i="2" s="1"/>
  <c r="H14" i="2"/>
  <c r="Q18" i="3" l="1"/>
  <c r="V17" i="3"/>
  <c r="U17" i="3"/>
  <c r="D16" i="2"/>
  <c r="I16" i="2" s="1"/>
  <c r="H15" i="2"/>
  <c r="Q19" i="3" l="1"/>
  <c r="U18" i="3"/>
  <c r="V18" i="3"/>
  <c r="D17" i="2"/>
  <c r="I17" i="2" s="1"/>
  <c r="H16" i="2"/>
  <c r="Q20" i="3" l="1"/>
  <c r="V19" i="3"/>
  <c r="U19" i="3"/>
  <c r="D18" i="2"/>
  <c r="I18" i="2" s="1"/>
  <c r="H17" i="2"/>
  <c r="Q21" i="3" l="1"/>
  <c r="V20" i="3"/>
  <c r="U20" i="3"/>
  <c r="D19" i="2"/>
  <c r="I19" i="2" s="1"/>
  <c r="H18" i="2"/>
  <c r="Q22" i="3" l="1"/>
  <c r="U21" i="3"/>
  <c r="V21" i="3"/>
  <c r="D20" i="2"/>
  <c r="I20" i="2" s="1"/>
  <c r="H19" i="2"/>
  <c r="Q23" i="3" l="1"/>
  <c r="U22" i="3"/>
  <c r="V22" i="3"/>
  <c r="D21" i="2"/>
  <c r="I21" i="2" s="1"/>
  <c r="H20" i="2"/>
  <c r="Q24" i="3" l="1"/>
  <c r="V23" i="3"/>
  <c r="U23" i="3"/>
  <c r="D22" i="2"/>
  <c r="I22" i="2" s="1"/>
  <c r="H21" i="2"/>
  <c r="Q25" i="3" l="1"/>
  <c r="V24" i="3"/>
  <c r="U24" i="3"/>
  <c r="D23" i="2"/>
  <c r="I23" i="2" s="1"/>
  <c r="H22" i="2"/>
  <c r="Q26" i="3" l="1"/>
  <c r="V25" i="3"/>
  <c r="U25" i="3"/>
  <c r="D24" i="2"/>
  <c r="I24" i="2" s="1"/>
  <c r="H23" i="2"/>
  <c r="Q27" i="3" l="1"/>
  <c r="U26" i="3"/>
  <c r="V26" i="3"/>
  <c r="D25" i="2"/>
  <c r="I25" i="2" s="1"/>
  <c r="H24" i="2"/>
  <c r="Q28" i="3" l="1"/>
  <c r="V27" i="3"/>
  <c r="U27" i="3"/>
  <c r="D26" i="2"/>
  <c r="I26" i="2" s="1"/>
  <c r="H25" i="2"/>
  <c r="Q29" i="3" l="1"/>
  <c r="V28" i="3"/>
  <c r="U28" i="3"/>
  <c r="D27" i="2"/>
  <c r="I27" i="2" s="1"/>
  <c r="H26" i="2"/>
  <c r="Q30" i="3" l="1"/>
  <c r="V29" i="3"/>
  <c r="U29" i="3"/>
  <c r="D28" i="2"/>
  <c r="I28" i="2" s="1"/>
  <c r="H27" i="2"/>
  <c r="Q31" i="3" l="1"/>
  <c r="U30" i="3"/>
  <c r="V30" i="3"/>
  <c r="D29" i="2"/>
  <c r="H28" i="2"/>
  <c r="D30" i="2" l="1"/>
  <c r="I29" i="2"/>
  <c r="Q32" i="3"/>
  <c r="V31" i="3"/>
  <c r="U31" i="3"/>
  <c r="H29" i="2"/>
  <c r="D31" i="2" l="1"/>
  <c r="H30" i="2"/>
  <c r="I30" i="2"/>
  <c r="Q33" i="3"/>
  <c r="V32" i="3"/>
  <c r="U32" i="3"/>
  <c r="D32" i="2" l="1"/>
  <c r="H31" i="2"/>
  <c r="I31" i="2"/>
  <c r="Q34" i="3"/>
  <c r="U33" i="3"/>
  <c r="V33" i="3"/>
  <c r="D33" i="2" l="1"/>
  <c r="H32" i="2"/>
  <c r="I32" i="2"/>
  <c r="Q35" i="3"/>
  <c r="U34" i="3"/>
  <c r="V34" i="3"/>
  <c r="D34" i="2" l="1"/>
  <c r="H33" i="2"/>
  <c r="I33" i="2"/>
  <c r="Q36" i="3"/>
  <c r="V35" i="3"/>
  <c r="U35" i="3"/>
  <c r="D35" i="2" l="1"/>
  <c r="H34" i="2"/>
  <c r="I34" i="2"/>
  <c r="Q37" i="3"/>
  <c r="V36" i="3"/>
  <c r="U36" i="3"/>
  <c r="D36" i="2" l="1"/>
  <c r="H35" i="2"/>
  <c r="I35" i="2"/>
  <c r="AC13" i="32"/>
  <c r="Q38" i="3"/>
  <c r="U37" i="3"/>
  <c r="V37" i="3"/>
  <c r="D37" i="2" l="1"/>
  <c r="H36" i="2"/>
  <c r="I36" i="2"/>
  <c r="Q39" i="3"/>
  <c r="U38" i="3"/>
  <c r="V38" i="3"/>
  <c r="D38" i="2" l="1"/>
  <c r="H37" i="2"/>
  <c r="I37" i="2"/>
  <c r="Q40" i="3"/>
  <c r="V39" i="3"/>
  <c r="U39" i="3"/>
  <c r="D39" i="2" l="1"/>
  <c r="H38" i="2"/>
  <c r="I38" i="2"/>
  <c r="Q41" i="3"/>
  <c r="V40" i="3"/>
  <c r="U40" i="3"/>
  <c r="D40" i="2" l="1"/>
  <c r="H39" i="2"/>
  <c r="I39" i="2"/>
  <c r="V41" i="3"/>
  <c r="V42" i="3" s="1"/>
  <c r="U41" i="3"/>
  <c r="U42" i="3" s="1"/>
  <c r="Q42" i="3"/>
  <c r="D41" i="2" l="1"/>
  <c r="H40" i="2"/>
  <c r="I40" i="2"/>
  <c r="P44" i="3"/>
  <c r="H41" i="2" l="1"/>
  <c r="H42" i="2" s="1"/>
  <c r="I41" i="2"/>
  <c r="I42" i="2" s="1"/>
  <c r="D42" i="2"/>
  <c r="P45" i="3"/>
  <c r="C111" i="2" s="1"/>
  <c r="C110" i="2"/>
  <c r="C44" i="2" l="1"/>
  <c r="D47" i="1"/>
  <c r="E47" i="1" s="1"/>
  <c r="F47" i="1" s="1"/>
  <c r="G47" i="1" s="1"/>
  <c r="H47" i="1" s="1"/>
  <c r="I47" i="1" s="1"/>
  <c r="L47" i="1" s="1"/>
  <c r="AV11" i="37" s="1"/>
  <c r="AV15" i="37" s="1"/>
  <c r="D56" i="1"/>
  <c r="E56" i="1" s="1"/>
  <c r="F56" i="1" s="1"/>
  <c r="G56" i="1" s="1"/>
  <c r="H56" i="1" s="1"/>
  <c r="I56" i="1" s="1"/>
  <c r="L56" i="1" s="1"/>
  <c r="BF11" i="37" s="1"/>
  <c r="BF15" i="37" s="1"/>
  <c r="D40" i="1"/>
  <c r="E40" i="1" s="1"/>
  <c r="F40" i="1" s="1"/>
  <c r="G40" i="1" s="1"/>
  <c r="H40" i="1" s="1"/>
  <c r="I40" i="1" s="1"/>
  <c r="L40" i="1" s="1"/>
  <c r="AN11" i="37" s="1"/>
  <c r="AN15" i="37" s="1"/>
  <c r="D60" i="1"/>
  <c r="E60" i="1" s="1"/>
  <c r="F60" i="1" s="1"/>
  <c r="G60" i="1" s="1"/>
  <c r="H60" i="1" s="1"/>
  <c r="I60" i="1" s="1"/>
  <c r="L60" i="1" s="1"/>
  <c r="BJ11" i="37" s="1"/>
  <c r="BJ15" i="37" s="1"/>
  <c r="D52" i="1"/>
  <c r="E52" i="1" s="1"/>
  <c r="F52" i="1" s="1"/>
  <c r="G52" i="1" s="1"/>
  <c r="H52" i="1" s="1"/>
  <c r="I52" i="1" s="1"/>
  <c r="L52" i="1" s="1"/>
  <c r="BA11" i="37" s="1"/>
  <c r="BA15" i="37" s="1"/>
  <c r="D54" i="1"/>
  <c r="E54" i="1" s="1"/>
  <c r="F54" i="1" s="1"/>
  <c r="G54" i="1" s="1"/>
  <c r="H54" i="1" s="1"/>
  <c r="I54" i="1" s="1"/>
  <c r="L54" i="1" s="1"/>
  <c r="BD11" i="37" s="1"/>
  <c r="BD15" i="37" s="1"/>
  <c r="D44" i="1"/>
  <c r="E44" i="1" s="1"/>
  <c r="F44" i="1" s="1"/>
  <c r="G44" i="1" s="1"/>
  <c r="H44" i="1" s="1"/>
  <c r="I44" i="1" s="1"/>
  <c r="L44" i="1" s="1"/>
  <c r="AS11" i="37" s="1"/>
  <c r="AS15" i="37" s="1"/>
  <c r="D64" i="1"/>
  <c r="E64" i="1" s="1"/>
  <c r="F64" i="1" s="1"/>
  <c r="G64" i="1" s="1"/>
  <c r="H64" i="1" s="1"/>
  <c r="I64" i="1" s="1"/>
  <c r="L64" i="1" s="1"/>
  <c r="BN11" i="37" s="1"/>
  <c r="BN15" i="37" s="1"/>
  <c r="D48" i="1"/>
  <c r="E48" i="1" s="1"/>
  <c r="F48" i="1" s="1"/>
  <c r="G48" i="1" s="1"/>
  <c r="H48" i="1" s="1"/>
  <c r="I48" i="1" s="1"/>
  <c r="L48" i="1" s="1"/>
  <c r="AW11" i="37" s="1"/>
  <c r="AW15" i="37" s="1"/>
  <c r="D38" i="1"/>
  <c r="E38" i="1" s="1"/>
  <c r="F38" i="1" s="1"/>
  <c r="G38" i="1" s="1"/>
  <c r="H38" i="1" s="1"/>
  <c r="I38" i="1" s="1"/>
  <c r="L38" i="1" s="1"/>
  <c r="AL11" i="37" s="1"/>
  <c r="AL15" i="37" s="1"/>
  <c r="D62" i="1"/>
  <c r="E62" i="1" s="1"/>
  <c r="F62" i="1" s="1"/>
  <c r="G62" i="1" s="1"/>
  <c r="H62" i="1" s="1"/>
  <c r="I62" i="1" s="1"/>
  <c r="L62" i="1" s="1"/>
  <c r="BL11" i="37" s="1"/>
  <c r="BL15" i="37" s="1"/>
  <c r="D43" i="1"/>
  <c r="E43" i="1" s="1"/>
  <c r="F43" i="1" s="1"/>
  <c r="G43" i="1" s="1"/>
  <c r="H43" i="1" s="1"/>
  <c r="I43" i="1" s="1"/>
  <c r="L43" i="1" s="1"/>
  <c r="AR11" i="37" s="1"/>
  <c r="AR15" i="37" s="1"/>
  <c r="D31" i="1"/>
  <c r="E31" i="1" s="1"/>
  <c r="F31" i="1" s="1"/>
  <c r="G31" i="1" s="1"/>
  <c r="H31" i="1" s="1"/>
  <c r="I31" i="1" s="1"/>
  <c r="L31" i="1" s="1"/>
  <c r="AE11" i="37" s="1"/>
  <c r="AE15" i="37" s="1"/>
  <c r="D30" i="1"/>
  <c r="E30" i="1" s="1"/>
  <c r="F30" i="1" s="1"/>
  <c r="G30" i="1" s="1"/>
  <c r="H30" i="1" s="1"/>
  <c r="I30" i="1" s="1"/>
  <c r="L30" i="1" s="1"/>
  <c r="AD11" i="37" s="1"/>
  <c r="AD15" i="37" s="1"/>
  <c r="D42" i="1"/>
  <c r="E42" i="1" s="1"/>
  <c r="F42" i="1" s="1"/>
  <c r="G42" i="1" s="1"/>
  <c r="H42" i="1" s="1"/>
  <c r="I42" i="1" s="1"/>
  <c r="L42" i="1" s="1"/>
  <c r="AQ11" i="37" s="1"/>
  <c r="AQ15" i="37" s="1"/>
  <c r="D51" i="1"/>
  <c r="E51" i="1" s="1"/>
  <c r="F51" i="1" s="1"/>
  <c r="G51" i="1" s="1"/>
  <c r="H51" i="1" s="1"/>
  <c r="I51" i="1" s="1"/>
  <c r="L51" i="1" s="1"/>
  <c r="AZ11" i="37" s="1"/>
  <c r="AZ15" i="37" s="1"/>
  <c r="D49" i="1"/>
  <c r="E49" i="1" s="1"/>
  <c r="F49" i="1" s="1"/>
  <c r="G49" i="1" s="1"/>
  <c r="H49" i="1" s="1"/>
  <c r="I49" i="1" s="1"/>
  <c r="L49" i="1" s="1"/>
  <c r="AX11" i="37" s="1"/>
  <c r="AX15" i="37" s="1"/>
  <c r="D34" i="1"/>
  <c r="E34" i="1" s="1"/>
  <c r="F34" i="1" s="1"/>
  <c r="G34" i="1" s="1"/>
  <c r="H34" i="1" s="1"/>
  <c r="I34" i="1" s="1"/>
  <c r="L34" i="1" s="1"/>
  <c r="AH11" i="37" s="1"/>
  <c r="AH15" i="37" s="1"/>
  <c r="D57" i="1"/>
  <c r="E57" i="1" s="1"/>
  <c r="F57" i="1" s="1"/>
  <c r="G57" i="1" s="1"/>
  <c r="H57" i="1" s="1"/>
  <c r="I57" i="1" s="1"/>
  <c r="L57" i="1" s="1"/>
  <c r="BG11" i="37" s="1"/>
  <c r="BG15" i="37" s="1"/>
  <c r="D46" i="1"/>
  <c r="E46" i="1" s="1"/>
  <c r="F46" i="1" s="1"/>
  <c r="G46" i="1" s="1"/>
  <c r="H46" i="1" s="1"/>
  <c r="I46" i="1" s="1"/>
  <c r="L46" i="1" s="1"/>
  <c r="AU11" i="37" s="1"/>
  <c r="AU15" i="37" s="1"/>
  <c r="D45" i="1"/>
  <c r="E45" i="1" s="1"/>
  <c r="F45" i="1" s="1"/>
  <c r="G45" i="1" s="1"/>
  <c r="H45" i="1" s="1"/>
  <c r="I45" i="1" s="1"/>
  <c r="L45" i="1" s="1"/>
  <c r="AT11" i="37" s="1"/>
  <c r="AT15" i="37" s="1"/>
  <c r="D58" i="1"/>
  <c r="E58" i="1" s="1"/>
  <c r="F58" i="1" s="1"/>
  <c r="G58" i="1" s="1"/>
  <c r="H58" i="1" s="1"/>
  <c r="I58" i="1" s="1"/>
  <c r="L58" i="1" s="1"/>
  <c r="BH11" i="37" s="1"/>
  <c r="BH15" i="37" s="1"/>
  <c r="D32" i="1"/>
  <c r="E32" i="1" s="1"/>
  <c r="F32" i="1" s="1"/>
  <c r="G32" i="1" s="1"/>
  <c r="H32" i="1" s="1"/>
  <c r="I32" i="1" s="1"/>
  <c r="L32" i="1" s="1"/>
  <c r="AF11" i="37" s="1"/>
  <c r="AF15" i="37" s="1"/>
  <c r="D50" i="1"/>
  <c r="E50" i="1" s="1"/>
  <c r="F50" i="1" s="1"/>
  <c r="G50" i="1" s="1"/>
  <c r="H50" i="1" s="1"/>
  <c r="I50" i="1" s="1"/>
  <c r="L50" i="1" s="1"/>
  <c r="AY11" i="37" s="1"/>
  <c r="AY15" i="37" s="1"/>
  <c r="D59" i="1"/>
  <c r="E59" i="1" s="1"/>
  <c r="F59" i="1" s="1"/>
  <c r="G59" i="1" s="1"/>
  <c r="H59" i="1" s="1"/>
  <c r="I59" i="1" s="1"/>
  <c r="L59" i="1" s="1"/>
  <c r="BI11" i="37" s="1"/>
  <c r="BI15" i="37" s="1"/>
  <c r="D36" i="1"/>
  <c r="E36" i="1" s="1"/>
  <c r="F36" i="1" s="1"/>
  <c r="G36" i="1" s="1"/>
  <c r="H36" i="1" s="1"/>
  <c r="I36" i="1" s="1"/>
  <c r="L36" i="1" s="1"/>
  <c r="AJ11" i="37" s="1"/>
  <c r="AJ15" i="37" s="1"/>
  <c r="D61" i="1"/>
  <c r="E61" i="1" s="1"/>
  <c r="F61" i="1" s="1"/>
  <c r="G61" i="1" s="1"/>
  <c r="H61" i="1" s="1"/>
  <c r="I61" i="1" s="1"/>
  <c r="L61" i="1" s="1"/>
  <c r="BK11" i="37" s="1"/>
  <c r="BK15" i="37" s="1"/>
  <c r="D55" i="1"/>
  <c r="E55" i="1" s="1"/>
  <c r="F55" i="1" s="1"/>
  <c r="G55" i="1" s="1"/>
  <c r="H55" i="1" s="1"/>
  <c r="I55" i="1" s="1"/>
  <c r="L55" i="1" s="1"/>
  <c r="BE11" i="37" s="1"/>
  <c r="BE15" i="37" s="1"/>
  <c r="D37" i="1"/>
  <c r="E37" i="1" s="1"/>
  <c r="F37" i="1" s="1"/>
  <c r="G37" i="1" s="1"/>
  <c r="H37" i="1" s="1"/>
  <c r="I37" i="1" s="1"/>
  <c r="L37" i="1" s="1"/>
  <c r="AK11" i="37" s="1"/>
  <c r="AK15" i="37" s="1"/>
  <c r="D39" i="1"/>
  <c r="E39" i="1" s="1"/>
  <c r="F39" i="1" s="1"/>
  <c r="G39" i="1" s="1"/>
  <c r="H39" i="1" s="1"/>
  <c r="I39" i="1" s="1"/>
  <c r="L39" i="1" s="1"/>
  <c r="AM11" i="37" s="1"/>
  <c r="AM15" i="37" s="1"/>
  <c r="D33" i="1"/>
  <c r="E33" i="1" s="1"/>
  <c r="F33" i="1" s="1"/>
  <c r="G33" i="1" s="1"/>
  <c r="H33" i="1" s="1"/>
  <c r="I33" i="1" s="1"/>
  <c r="L33" i="1" s="1"/>
  <c r="AG11" i="37" s="1"/>
  <c r="AG15" i="37" s="1"/>
  <c r="D63" i="1"/>
  <c r="E63" i="1" s="1"/>
  <c r="F63" i="1" s="1"/>
  <c r="G63" i="1" s="1"/>
  <c r="H63" i="1" s="1"/>
  <c r="I63" i="1" s="1"/>
  <c r="L63" i="1" s="1"/>
  <c r="BM11" i="37" s="1"/>
  <c r="BM15" i="37" s="1"/>
  <c r="D35" i="1"/>
  <c r="E35" i="1" s="1"/>
  <c r="F35" i="1" s="1"/>
  <c r="G35" i="1" s="1"/>
  <c r="H35" i="1" s="1"/>
  <c r="I35" i="1" s="1"/>
  <c r="L35" i="1" s="1"/>
  <c r="AI11" i="37" s="1"/>
  <c r="AI15" i="37" s="1"/>
  <c r="C45" i="2" l="1"/>
  <c r="E57" i="2" s="1"/>
  <c r="G57" i="2" s="1"/>
  <c r="D13" i="1" s="1"/>
  <c r="E13" i="1" s="1"/>
  <c r="F13" i="1" s="1"/>
  <c r="G13" i="1" s="1"/>
  <c r="H13" i="1" s="1"/>
  <c r="I13" i="1" s="1"/>
  <c r="L13" i="1" s="1"/>
  <c r="K11" i="37" s="1"/>
  <c r="K15" i="37" s="1"/>
  <c r="E50" i="2"/>
  <c r="G50" i="2" s="1"/>
  <c r="D6" i="1" s="1"/>
  <c r="E6" i="1" s="1"/>
  <c r="F6" i="1" s="1"/>
  <c r="G6" i="1" s="1"/>
  <c r="H6" i="1" s="1"/>
  <c r="I6" i="1" s="1"/>
  <c r="L6" i="1" s="1"/>
  <c r="D11" i="37" s="1"/>
  <c r="D15" i="37" s="1"/>
  <c r="E108" i="2"/>
  <c r="G108" i="2" s="1"/>
  <c r="E74" i="2"/>
  <c r="G74" i="2" s="1"/>
  <c r="E85" i="2"/>
  <c r="G85" i="2" s="1"/>
  <c r="E81" i="2"/>
  <c r="G81" i="2" s="1"/>
  <c r="E56" i="2"/>
  <c r="G56" i="2" s="1"/>
  <c r="D12" i="1" s="1"/>
  <c r="E12" i="1" s="1"/>
  <c r="F12" i="1" s="1"/>
  <c r="G12" i="1" s="1"/>
  <c r="H12" i="1" s="1"/>
  <c r="I12" i="1" s="1"/>
  <c r="L12" i="1" s="1"/>
  <c r="J11" i="37" s="1"/>
  <c r="J15" i="37" s="1"/>
  <c r="E58" i="2"/>
  <c r="G58" i="2" s="1"/>
  <c r="D14" i="1" s="1"/>
  <c r="E14" i="1" s="1"/>
  <c r="F14" i="1" s="1"/>
  <c r="G14" i="1" s="1"/>
  <c r="H14" i="1" s="1"/>
  <c r="I14" i="1" s="1"/>
  <c r="L14" i="1" s="1"/>
  <c r="L11" i="37" s="1"/>
  <c r="L15" i="37" s="1"/>
  <c r="E71" i="2"/>
  <c r="G71" i="2" s="1"/>
  <c r="D27" i="1" s="1"/>
  <c r="E27" i="1" s="1"/>
  <c r="F27" i="1" s="1"/>
  <c r="G27" i="1" s="1"/>
  <c r="H27" i="1" s="1"/>
  <c r="I27" i="1" s="1"/>
  <c r="L27" i="1" s="1"/>
  <c r="Z11" i="37" s="1"/>
  <c r="Z15" i="37" s="1"/>
  <c r="E54" i="2"/>
  <c r="G54" i="2" s="1"/>
  <c r="D10" i="1" s="1"/>
  <c r="E10" i="1" s="1"/>
  <c r="F10" i="1" s="1"/>
  <c r="G10" i="1" s="1"/>
  <c r="H10" i="1" s="1"/>
  <c r="I10" i="1" s="1"/>
  <c r="L10" i="1" s="1"/>
  <c r="H11" i="37" s="1"/>
  <c r="H15" i="37" s="1"/>
  <c r="E107" i="2"/>
  <c r="G107" i="2" s="1"/>
  <c r="E82" i="2"/>
  <c r="G82" i="2" s="1"/>
  <c r="E76" i="2"/>
  <c r="G76" i="2" s="1"/>
  <c r="E52" i="2"/>
  <c r="G52" i="2" s="1"/>
  <c r="D8" i="1" s="1"/>
  <c r="E8" i="1" s="1"/>
  <c r="F8" i="1" s="1"/>
  <c r="G8" i="1" s="1"/>
  <c r="H8" i="1" s="1"/>
  <c r="I8" i="1" s="1"/>
  <c r="L8" i="1" s="1"/>
  <c r="F11" i="37" s="1"/>
  <c r="F15" i="37" s="1"/>
  <c r="E75" i="2"/>
  <c r="G75" i="2" s="1"/>
  <c r="E100" i="2"/>
  <c r="G100" i="2" s="1"/>
  <c r="E53" i="2"/>
  <c r="G53" i="2" s="1"/>
  <c r="D9" i="1" s="1"/>
  <c r="E9" i="1" s="1"/>
  <c r="F9" i="1" s="1"/>
  <c r="G9" i="1" s="1"/>
  <c r="H9" i="1" s="1"/>
  <c r="I9" i="1" s="1"/>
  <c r="L9" i="1" s="1"/>
  <c r="G11" i="37" s="1"/>
  <c r="G15" i="37" s="1"/>
  <c r="E77" i="2"/>
  <c r="G77" i="2" s="1"/>
  <c r="E59" i="2"/>
  <c r="G59" i="2" s="1"/>
  <c r="D15" i="1" s="1"/>
  <c r="E15" i="1" s="1"/>
  <c r="F15" i="1" s="1"/>
  <c r="G15" i="1" s="1"/>
  <c r="H15" i="1" s="1"/>
  <c r="I15" i="1" s="1"/>
  <c r="L15" i="1" s="1"/>
  <c r="M11" i="37" s="1"/>
  <c r="M15" i="37" s="1"/>
  <c r="E91" i="2"/>
  <c r="G91" i="2" s="1"/>
  <c r="E60" i="2"/>
  <c r="G60" i="2" s="1"/>
  <c r="D16" i="1" s="1"/>
  <c r="E16" i="1" s="1"/>
  <c r="F16" i="1" s="1"/>
  <c r="G16" i="1" s="1"/>
  <c r="H16" i="1" s="1"/>
  <c r="I16" i="1" s="1"/>
  <c r="L16" i="1" s="1"/>
  <c r="N11" i="37" s="1"/>
  <c r="N15" i="37" s="1"/>
  <c r="E93" i="2"/>
  <c r="G93" i="2" s="1"/>
  <c r="E88" i="2"/>
  <c r="G88" i="2" s="1"/>
  <c r="E69" i="2"/>
  <c r="G69" i="2" s="1"/>
  <c r="D25" i="1" s="1"/>
  <c r="E25" i="1" s="1"/>
  <c r="F25" i="1" s="1"/>
  <c r="G25" i="1" s="1"/>
  <c r="H25" i="1" s="1"/>
  <c r="I25" i="1" s="1"/>
  <c r="L25" i="1" s="1"/>
  <c r="X11" i="37" s="1"/>
  <c r="X15" i="37" s="1"/>
  <c r="E65" i="2"/>
  <c r="G65" i="2" s="1"/>
  <c r="D21" i="1" s="1"/>
  <c r="E21" i="1" s="1"/>
  <c r="F21" i="1" s="1"/>
  <c r="G21" i="1" s="1"/>
  <c r="H21" i="1" s="1"/>
  <c r="I21" i="1" s="1"/>
  <c r="L21" i="1" s="1"/>
  <c r="T11" i="37" s="1"/>
  <c r="T15" i="37" s="1"/>
  <c r="E67" i="2"/>
  <c r="G67" i="2" s="1"/>
  <c r="D23" i="1" s="1"/>
  <c r="E23" i="1" s="1"/>
  <c r="F23" i="1" s="1"/>
  <c r="G23" i="1" s="1"/>
  <c r="H23" i="1" s="1"/>
  <c r="I23" i="1" s="1"/>
  <c r="L23" i="1" s="1"/>
  <c r="V11" i="37" s="1"/>
  <c r="V15" i="37" s="1"/>
  <c r="E102" i="2"/>
  <c r="G102" i="2" s="1"/>
  <c r="E94" i="2"/>
  <c r="G94" i="2" s="1"/>
  <c r="E70" i="2"/>
  <c r="G70" i="2" s="1"/>
  <c r="D26" i="1" s="1"/>
  <c r="E26" i="1" s="1"/>
  <c r="F26" i="1" s="1"/>
  <c r="G26" i="1" s="1"/>
  <c r="H26" i="1" s="1"/>
  <c r="I26" i="1" s="1"/>
  <c r="L26" i="1" s="1"/>
  <c r="Y11" i="37" s="1"/>
  <c r="Y15" i="37" s="1"/>
  <c r="E78" i="2"/>
  <c r="G78" i="2" s="1"/>
  <c r="E92" i="2"/>
  <c r="G92" i="2" s="1"/>
  <c r="E62" i="2"/>
  <c r="G62" i="2" s="1"/>
  <c r="D18" i="1" s="1"/>
  <c r="E18" i="1" s="1"/>
  <c r="F18" i="1" s="1"/>
  <c r="G18" i="1" s="1"/>
  <c r="H18" i="1" s="1"/>
  <c r="I18" i="1" s="1"/>
  <c r="L18" i="1" s="1"/>
  <c r="Q11" i="37" s="1"/>
  <c r="Q15" i="37" s="1"/>
  <c r="E61" i="2"/>
  <c r="G61" i="2" s="1"/>
  <c r="E96" i="2"/>
  <c r="G96" i="2" s="1"/>
  <c r="E104" i="2"/>
  <c r="G104" i="2" s="1"/>
  <c r="E80" i="2"/>
  <c r="G80" i="2" s="1"/>
  <c r="E72" i="2"/>
  <c r="G72" i="2" s="1"/>
  <c r="D28" i="1" s="1"/>
  <c r="E28" i="1" s="1"/>
  <c r="F28" i="1" s="1"/>
  <c r="G28" i="1" s="1"/>
  <c r="H28" i="1" s="1"/>
  <c r="I28" i="1" s="1"/>
  <c r="L28" i="1" s="1"/>
  <c r="AA11" i="37" s="1"/>
  <c r="AA15" i="37" s="1"/>
  <c r="E68" i="2"/>
  <c r="G68" i="2" s="1"/>
  <c r="D24" i="1" s="1"/>
  <c r="E24" i="1" s="1"/>
  <c r="F24" i="1" s="1"/>
  <c r="G24" i="1" s="1"/>
  <c r="H24" i="1" s="1"/>
  <c r="I24" i="1" s="1"/>
  <c r="L24" i="1" s="1"/>
  <c r="W11" i="37" s="1"/>
  <c r="W15" i="37" s="1"/>
  <c r="E90" i="2"/>
  <c r="G90" i="2" s="1"/>
  <c r="E89" i="2"/>
  <c r="G89" i="2" s="1"/>
  <c r="E105" i="2"/>
  <c r="G105" i="2" s="1"/>
  <c r="E99" i="2"/>
  <c r="G99" i="2" s="1"/>
  <c r="E95" i="2"/>
  <c r="G95" i="2" s="1"/>
  <c r="E51" i="2"/>
  <c r="G51" i="2" s="1"/>
  <c r="D7" i="1" s="1"/>
  <c r="E7" i="1" s="1"/>
  <c r="F7" i="1" s="1"/>
  <c r="G7" i="1" s="1"/>
  <c r="H7" i="1" s="1"/>
  <c r="I7" i="1" s="1"/>
  <c r="L7" i="1" s="1"/>
  <c r="E11" i="37" s="1"/>
  <c r="E15" i="37" s="1"/>
  <c r="E103" i="2"/>
  <c r="G103" i="2" s="1"/>
  <c r="E73" i="2"/>
  <c r="G73" i="2" s="1"/>
  <c r="E83" i="2"/>
  <c r="G83" i="2" s="1"/>
  <c r="E79" i="2"/>
  <c r="G79" i="2" s="1"/>
  <c r="E87" i="2"/>
  <c r="G87" i="2" s="1"/>
  <c r="E63" i="2"/>
  <c r="G63" i="2" s="1"/>
  <c r="D19" i="1" s="1"/>
  <c r="E19" i="1" s="1"/>
  <c r="F19" i="1" s="1"/>
  <c r="G19" i="1" s="1"/>
  <c r="H19" i="1" s="1"/>
  <c r="I19" i="1" s="1"/>
  <c r="L19" i="1" s="1"/>
  <c r="R11" i="37" s="1"/>
  <c r="R15" i="37" s="1"/>
  <c r="E86" i="2"/>
  <c r="G86" i="2" s="1"/>
  <c r="E97" i="2"/>
  <c r="G97" i="2" s="1"/>
  <c r="E84" i="2"/>
  <c r="G84" i="2" s="1"/>
  <c r="E64" i="2"/>
  <c r="G64" i="2" s="1"/>
  <c r="D20" i="1" s="1"/>
  <c r="E20" i="1" s="1"/>
  <c r="F20" i="1" s="1"/>
  <c r="G20" i="1" s="1"/>
  <c r="H20" i="1" s="1"/>
  <c r="I20" i="1" s="1"/>
  <c r="L20" i="1" s="1"/>
  <c r="S11" i="37" s="1"/>
  <c r="S15" i="37" s="1"/>
  <c r="E106" i="2"/>
  <c r="G106" i="2" s="1"/>
  <c r="E55" i="2"/>
  <c r="G55" i="2" s="1"/>
  <c r="D11" i="1" s="1"/>
  <c r="E11" i="1" s="1"/>
  <c r="F11" i="1" s="1"/>
  <c r="G11" i="1" s="1"/>
  <c r="H11" i="1" s="1"/>
  <c r="I11" i="1" s="1"/>
  <c r="L11" i="1" s="1"/>
  <c r="I11" i="37" s="1"/>
  <c r="I15" i="37" s="1"/>
  <c r="E66" i="2"/>
  <c r="G66" i="2" s="1"/>
  <c r="D22" i="1" s="1"/>
  <c r="E22" i="1" s="1"/>
  <c r="F22" i="1" s="1"/>
  <c r="G22" i="1" s="1"/>
  <c r="H22" i="1" s="1"/>
  <c r="I22" i="1" s="1"/>
  <c r="L22" i="1" s="1"/>
  <c r="U11" i="37" s="1"/>
  <c r="U15" i="37" s="1"/>
  <c r="O33" i="1"/>
  <c r="AH8" i="32"/>
  <c r="AH33" i="32" s="1"/>
  <c r="AJ8" i="32"/>
  <c r="AJ33" i="32" s="1"/>
  <c r="O35" i="1"/>
  <c r="O39" i="1"/>
  <c r="AN8" i="32"/>
  <c r="O36" i="1"/>
  <c r="AK8" i="32"/>
  <c r="AK33" i="32" s="1"/>
  <c r="O58" i="1"/>
  <c r="BI8" i="32"/>
  <c r="BI33" i="32" s="1"/>
  <c r="O34" i="1"/>
  <c r="AI8" i="32"/>
  <c r="AI33" i="32" s="1"/>
  <c r="D29" i="1"/>
  <c r="E29" i="1" s="1"/>
  <c r="F29" i="1" s="1"/>
  <c r="G29" i="1" s="1"/>
  <c r="H29" i="1" s="1"/>
  <c r="I29" i="1" s="1"/>
  <c r="L29" i="1" s="1"/>
  <c r="AC11" i="37" s="1"/>
  <c r="D53" i="1"/>
  <c r="E53" i="1" s="1"/>
  <c r="F53" i="1" s="1"/>
  <c r="G53" i="1" s="1"/>
  <c r="H53" i="1" s="1"/>
  <c r="I53" i="1" s="1"/>
  <c r="L53" i="1" s="1"/>
  <c r="BC11" i="37" s="1"/>
  <c r="O64" i="1"/>
  <c r="BO8" i="32"/>
  <c r="BO33" i="32" s="1"/>
  <c r="O60" i="1"/>
  <c r="BK8" i="32"/>
  <c r="O63" i="1"/>
  <c r="BN8" i="32"/>
  <c r="BN33" i="32" s="1"/>
  <c r="O37" i="1"/>
  <c r="AL8" i="32"/>
  <c r="O59" i="1"/>
  <c r="BJ8" i="32"/>
  <c r="BJ33" i="32" s="1"/>
  <c r="O45" i="1"/>
  <c r="AU8" i="32"/>
  <c r="AU33" i="32" s="1"/>
  <c r="O49" i="1"/>
  <c r="AY8" i="32"/>
  <c r="AY33" i="32" s="1"/>
  <c r="O30" i="1"/>
  <c r="AE8" i="32"/>
  <c r="AE33" i="32" s="1"/>
  <c r="O62" i="1"/>
  <c r="BM8" i="32"/>
  <c r="BM33" i="32" s="1"/>
  <c r="O44" i="1"/>
  <c r="AT8" i="32"/>
  <c r="AT33" i="32" s="1"/>
  <c r="O40" i="1"/>
  <c r="AO8" i="32"/>
  <c r="AO33" i="32" s="1"/>
  <c r="D41" i="1"/>
  <c r="E41" i="1" s="1"/>
  <c r="F41" i="1" s="1"/>
  <c r="G41" i="1" s="1"/>
  <c r="H41" i="1" s="1"/>
  <c r="I41" i="1" s="1"/>
  <c r="L41" i="1" s="1"/>
  <c r="AP11" i="37" s="1"/>
  <c r="O55" i="1"/>
  <c r="BF8" i="32"/>
  <c r="BF33" i="32" s="1"/>
  <c r="O50" i="1"/>
  <c r="AZ8" i="32"/>
  <c r="AZ33" i="32" s="1"/>
  <c r="O46" i="1"/>
  <c r="AV8" i="32"/>
  <c r="AV33" i="32" s="1"/>
  <c r="O51" i="1"/>
  <c r="BA8" i="32"/>
  <c r="BA33" i="32" s="1"/>
  <c r="AF8" i="32"/>
  <c r="AF33" i="32" s="1"/>
  <c r="O31" i="1"/>
  <c r="O38" i="1"/>
  <c r="AM8" i="32"/>
  <c r="AM33" i="32" s="1"/>
  <c r="O54" i="1"/>
  <c r="BE8" i="32"/>
  <c r="BE33" i="32" s="1"/>
  <c r="O56" i="1"/>
  <c r="BG8" i="32"/>
  <c r="BG33" i="32" s="1"/>
  <c r="O61" i="1"/>
  <c r="BL8" i="32"/>
  <c r="BL33" i="32" s="1"/>
  <c r="O32" i="1"/>
  <c r="AG8" i="32"/>
  <c r="AG33" i="32" s="1"/>
  <c r="O57" i="1"/>
  <c r="BH8" i="32"/>
  <c r="O42" i="1"/>
  <c r="AR8" i="32"/>
  <c r="AR33" i="32" s="1"/>
  <c r="O43" i="1"/>
  <c r="AS8" i="32"/>
  <c r="O48" i="1"/>
  <c r="AX8" i="32"/>
  <c r="AX33" i="32" s="1"/>
  <c r="O52" i="1"/>
  <c r="BB8" i="32"/>
  <c r="O47" i="1"/>
  <c r="AW8" i="32"/>
  <c r="AW33" i="32" s="1"/>
  <c r="BD11" i="32" l="1"/>
  <c r="BB33" i="32"/>
  <c r="BI11" i="32"/>
  <c r="BH33" i="32"/>
  <c r="BL11" i="32"/>
  <c r="BK33" i="32"/>
  <c r="AO11" i="32"/>
  <c r="AN33" i="32"/>
  <c r="AT11" i="32"/>
  <c r="AS33" i="32"/>
  <c r="AM11" i="32"/>
  <c r="AL33" i="32"/>
  <c r="AW11" i="32"/>
  <c r="AI11" i="32"/>
  <c r="AK11" i="32"/>
  <c r="AG11" i="32"/>
  <c r="BJ11" i="32"/>
  <c r="AX11" i="32"/>
  <c r="AY11" i="32"/>
  <c r="AH11" i="32"/>
  <c r="BH11" i="32"/>
  <c r="AN11" i="32"/>
  <c r="BB11" i="32"/>
  <c r="BA11" i="32"/>
  <c r="BM11" i="32"/>
  <c r="BG11" i="32"/>
  <c r="AU11" i="32"/>
  <c r="AV11" i="32"/>
  <c r="AQ11" i="32"/>
  <c r="BN11" i="32"/>
  <c r="AZ11" i="32"/>
  <c r="BK11" i="32"/>
  <c r="BO11" i="32"/>
  <c r="AJ11" i="32"/>
  <c r="AL11" i="32"/>
  <c r="BB11" i="37"/>
  <c r="AP15" i="37"/>
  <c r="BB15" i="37" s="1"/>
  <c r="AO11" i="37"/>
  <c r="AC15" i="37"/>
  <c r="AO15" i="37" s="1"/>
  <c r="BO11" i="37"/>
  <c r="BC15" i="37"/>
  <c r="BO15" i="37" s="1"/>
  <c r="L8" i="32"/>
  <c r="L33" i="32" s="1"/>
  <c r="O13" i="1"/>
  <c r="O16" i="1"/>
  <c r="O8" i="32"/>
  <c r="O33" i="32" s="1"/>
  <c r="O20" i="1"/>
  <c r="T8" i="32"/>
  <c r="T33" i="32" s="1"/>
  <c r="O9" i="1"/>
  <c r="H8" i="32"/>
  <c r="H33" i="32" s="1"/>
  <c r="H85" i="2"/>
  <c r="I85" i="2"/>
  <c r="F8" i="32"/>
  <c r="F33" i="32" s="1"/>
  <c r="O7" i="1"/>
  <c r="O27" i="1"/>
  <c r="AA8" i="32"/>
  <c r="AA33" i="32" s="1"/>
  <c r="Z8" i="32"/>
  <c r="Z33" i="32" s="1"/>
  <c r="O26" i="1"/>
  <c r="S8" i="32"/>
  <c r="S33" i="32" s="1"/>
  <c r="O19" i="1"/>
  <c r="O21" i="1"/>
  <c r="U8" i="32"/>
  <c r="U33" i="32" s="1"/>
  <c r="O25" i="1"/>
  <c r="Y8" i="32"/>
  <c r="Y33" i="32" s="1"/>
  <c r="O6" i="1"/>
  <c r="E8" i="32"/>
  <c r="E33" i="32" s="1"/>
  <c r="O11" i="1"/>
  <c r="J8" i="32"/>
  <c r="J33" i="32" s="1"/>
  <c r="I8" i="32"/>
  <c r="I33" i="32" s="1"/>
  <c r="O10" i="1"/>
  <c r="O15" i="1"/>
  <c r="N8" i="32"/>
  <c r="N33" i="32" s="1"/>
  <c r="O24" i="1"/>
  <c r="X8" i="32"/>
  <c r="X33" i="32" s="1"/>
  <c r="G8" i="32"/>
  <c r="G33" i="32" s="1"/>
  <c r="O8" i="1"/>
  <c r="O18" i="1"/>
  <c r="R8" i="32"/>
  <c r="R33" i="32" s="1"/>
  <c r="K8" i="32"/>
  <c r="K33" i="32" s="1"/>
  <c r="O12" i="1"/>
  <c r="O28" i="1"/>
  <c r="AB8" i="32"/>
  <c r="H73" i="2"/>
  <c r="I73" i="2"/>
  <c r="E49" i="2"/>
  <c r="G49" i="2" s="1"/>
  <c r="M8" i="32"/>
  <c r="M33" i="32" s="1"/>
  <c r="O14" i="1"/>
  <c r="O23" i="1"/>
  <c r="W8" i="32"/>
  <c r="W33" i="32" s="1"/>
  <c r="V8" i="32"/>
  <c r="V33" i="32" s="1"/>
  <c r="O22" i="1"/>
  <c r="D17" i="1"/>
  <c r="E17" i="1" s="1"/>
  <c r="F17" i="1" s="1"/>
  <c r="G17" i="1" s="1"/>
  <c r="H17" i="1" s="1"/>
  <c r="I17" i="1" s="1"/>
  <c r="L17" i="1" s="1"/>
  <c r="P11" i="37" s="1"/>
  <c r="H61" i="2"/>
  <c r="I61" i="2"/>
  <c r="E101" i="2"/>
  <c r="G101" i="2" s="1"/>
  <c r="E98" i="2"/>
  <c r="G98" i="2" s="1"/>
  <c r="BD8" i="32"/>
  <c r="BD33" i="32" s="1"/>
  <c r="BP33" i="32" s="1"/>
  <c r="M53" i="1"/>
  <c r="F116" i="1" s="1"/>
  <c r="N53" i="1"/>
  <c r="O53" i="1"/>
  <c r="AQ8" i="32"/>
  <c r="M41" i="1"/>
  <c r="F115" i="1" s="1"/>
  <c r="O41" i="1"/>
  <c r="N41" i="1"/>
  <c r="AD8" i="32"/>
  <c r="AD33" i="32" s="1"/>
  <c r="AP33" i="32" s="1"/>
  <c r="O29" i="1"/>
  <c r="N29" i="1"/>
  <c r="M29" i="1"/>
  <c r="F114" i="1" s="1"/>
  <c r="AS11" i="32" l="1"/>
  <c r="AQ33" i="32"/>
  <c r="BC33" i="32" s="1"/>
  <c r="AD11" i="32"/>
  <c r="AB33" i="32"/>
  <c r="L11" i="32"/>
  <c r="Y11" i="32"/>
  <c r="V11" i="32"/>
  <c r="Q11" i="32"/>
  <c r="AA11" i="32"/>
  <c r="N11" i="32"/>
  <c r="I11" i="32"/>
  <c r="U11" i="32"/>
  <c r="W11" i="32"/>
  <c r="AE11" i="32"/>
  <c r="BE11" i="32"/>
  <c r="J11" i="32"/>
  <c r="O11" i="32"/>
  <c r="K11" i="32"/>
  <c r="Z11" i="32"/>
  <c r="AB11" i="32"/>
  <c r="AF11" i="32"/>
  <c r="AR11" i="32"/>
  <c r="X11" i="32"/>
  <c r="G11" i="32"/>
  <c r="H11" i="32"/>
  <c r="T11" i="32"/>
  <c r="M11" i="32"/>
  <c r="BF11" i="32"/>
  <c r="AB11" i="37"/>
  <c r="P15" i="37"/>
  <c r="H97" i="2"/>
  <c r="I97" i="2"/>
  <c r="H49" i="2"/>
  <c r="I49" i="2"/>
  <c r="F5" i="1"/>
  <c r="G5" i="1" s="1"/>
  <c r="H5" i="1" s="1"/>
  <c r="I5" i="1" s="1"/>
  <c r="L5" i="1" s="1"/>
  <c r="C11" i="37" s="1"/>
  <c r="M17" i="1"/>
  <c r="F113" i="1" s="1"/>
  <c r="N17" i="1"/>
  <c r="Q8" i="32"/>
  <c r="O17" i="1"/>
  <c r="D115" i="1"/>
  <c r="D114" i="1"/>
  <c r="D40" i="15" s="1"/>
  <c r="E40" i="15" s="1"/>
  <c r="D116" i="1"/>
  <c r="Q29" i="1"/>
  <c r="E114" i="1" s="1"/>
  <c r="P29" i="1"/>
  <c r="G114" i="1" s="1"/>
  <c r="AP8" i="32"/>
  <c r="BC8" i="32"/>
  <c r="P41" i="1"/>
  <c r="G115" i="1" s="1"/>
  <c r="Q41" i="1"/>
  <c r="E115" i="1" s="1"/>
  <c r="BP8" i="32"/>
  <c r="Q53" i="1"/>
  <c r="E116" i="1" s="1"/>
  <c r="P53" i="1"/>
  <c r="G116" i="1" s="1"/>
  <c r="F10" i="52" l="1"/>
  <c r="S11" i="32"/>
  <c r="Q33" i="32"/>
  <c r="AC33" i="32" s="1"/>
  <c r="G10" i="52"/>
  <c r="E10" i="52"/>
  <c r="R11" i="32"/>
  <c r="G5" i="28"/>
  <c r="H11" i="28" s="1"/>
  <c r="F7" i="36"/>
  <c r="C15" i="37"/>
  <c r="O11" i="37"/>
  <c r="H7" i="36"/>
  <c r="K5" i="28"/>
  <c r="I5" i="28"/>
  <c r="G7" i="36"/>
  <c r="AB15" i="37"/>
  <c r="AC8" i="32"/>
  <c r="H5" i="28"/>
  <c r="C17" i="17"/>
  <c r="E17" i="17" s="1"/>
  <c r="D113" i="1"/>
  <c r="C18" i="17"/>
  <c r="D18" i="17" s="1"/>
  <c r="D25" i="19" s="1"/>
  <c r="N5" i="1"/>
  <c r="D112" i="1" s="1"/>
  <c r="O5" i="1"/>
  <c r="M5" i="1"/>
  <c r="F112" i="1" s="1"/>
  <c r="D8" i="32"/>
  <c r="D33" i="32" s="1"/>
  <c r="P33" i="32" s="1"/>
  <c r="Q17" i="1"/>
  <c r="E113" i="1" s="1"/>
  <c r="P17" i="1"/>
  <c r="G113" i="1" s="1"/>
  <c r="D41" i="15"/>
  <c r="E41" i="15" s="1"/>
  <c r="C19" i="17"/>
  <c r="D19" i="17" s="1"/>
  <c r="D31" i="19" s="1"/>
  <c r="D42" i="15"/>
  <c r="E42" i="15" s="1"/>
  <c r="BP13" i="32"/>
  <c r="BC11" i="32"/>
  <c r="BP11" i="32"/>
  <c r="BC13" i="32"/>
  <c r="AP13" i="32"/>
  <c r="F22" i="52" l="1"/>
  <c r="E22" i="52"/>
  <c r="G22" i="52"/>
  <c r="K14" i="28"/>
  <c r="I14" i="28"/>
  <c r="G14" i="28"/>
  <c r="H13" i="28"/>
  <c r="J5" i="28"/>
  <c r="L11" i="28"/>
  <c r="E11" i="32"/>
  <c r="D11" i="32"/>
  <c r="F11" i="32"/>
  <c r="D10" i="52"/>
  <c r="E7" i="36"/>
  <c r="E5" i="28"/>
  <c r="C16" i="37"/>
  <c r="O15" i="37"/>
  <c r="AB16" i="37" s="1"/>
  <c r="D7" i="36"/>
  <c r="C5" i="28"/>
  <c r="L8" i="28"/>
  <c r="L13" i="28"/>
  <c r="L9" i="28"/>
  <c r="L5" i="28"/>
  <c r="H8" i="28"/>
  <c r="H9" i="28"/>
  <c r="D17" i="17"/>
  <c r="D32" i="19"/>
  <c r="G9" i="19" s="1"/>
  <c r="J9" i="28"/>
  <c r="J11" i="28"/>
  <c r="J13" i="28"/>
  <c r="J8" i="28"/>
  <c r="E18" i="17"/>
  <c r="AY16" i="32" s="1"/>
  <c r="P5" i="1"/>
  <c r="G112" i="1" s="1"/>
  <c r="Q5" i="1"/>
  <c r="E112" i="1" s="1"/>
  <c r="D26" i="19"/>
  <c r="G8" i="19" s="1"/>
  <c r="P8" i="32"/>
  <c r="E19" i="17"/>
  <c r="BJ16" i="32" s="1"/>
  <c r="C16" i="17"/>
  <c r="D39" i="15"/>
  <c r="E39" i="15" s="1"/>
  <c r="AF16" i="32"/>
  <c r="AN16" i="32"/>
  <c r="AJ16" i="32"/>
  <c r="AK16" i="32"/>
  <c r="AI16" i="32"/>
  <c r="AD16" i="32"/>
  <c r="AM16" i="32"/>
  <c r="AG16" i="32"/>
  <c r="AO16" i="32"/>
  <c r="AE16" i="32"/>
  <c r="AL16" i="32"/>
  <c r="AH16" i="32"/>
  <c r="I6" i="28" l="1"/>
  <c r="J6" i="28" s="1"/>
  <c r="F8" i="52"/>
  <c r="F9" i="52" s="1"/>
  <c r="F12" i="52" s="1"/>
  <c r="F13" i="52" s="1"/>
  <c r="K6" i="28"/>
  <c r="L6" i="28" s="1"/>
  <c r="G8" i="52"/>
  <c r="G9" i="52" s="1"/>
  <c r="G12" i="52" s="1"/>
  <c r="G13" i="52" s="1"/>
  <c r="D22" i="52"/>
  <c r="AP39" i="32"/>
  <c r="F20" i="36"/>
  <c r="BC39" i="32"/>
  <c r="G20" i="36"/>
  <c r="BP39" i="32"/>
  <c r="H20" i="36"/>
  <c r="C14" i="28"/>
  <c r="P39" i="32" s="1"/>
  <c r="E14" i="28"/>
  <c r="C10" i="52"/>
  <c r="AC10" i="32"/>
  <c r="AC16" i="37"/>
  <c r="AO16" i="37"/>
  <c r="D10" i="32"/>
  <c r="C19" i="37"/>
  <c r="C20" i="37" s="1"/>
  <c r="C21" i="37" s="1"/>
  <c r="C17" i="37"/>
  <c r="D16" i="37"/>
  <c r="D19" i="19"/>
  <c r="D20" i="19" s="1"/>
  <c r="G7" i="19" s="1"/>
  <c r="AP11" i="32"/>
  <c r="AS16" i="32"/>
  <c r="AZ16" i="32"/>
  <c r="BB16" i="32"/>
  <c r="AW16" i="32"/>
  <c r="AU16" i="32"/>
  <c r="AT16" i="32"/>
  <c r="AQ16" i="32"/>
  <c r="AR16" i="32"/>
  <c r="AV16" i="32"/>
  <c r="BA16" i="32"/>
  <c r="AX16" i="32"/>
  <c r="I7" i="28"/>
  <c r="J7" i="28" s="1"/>
  <c r="BK16" i="32"/>
  <c r="BN16" i="32"/>
  <c r="BE16" i="32"/>
  <c r="D38" i="15"/>
  <c r="E38" i="15" s="1"/>
  <c r="C15" i="17"/>
  <c r="E15" i="17" s="1"/>
  <c r="BO16" i="32"/>
  <c r="BL16" i="32"/>
  <c r="BI16" i="32"/>
  <c r="P11" i="32"/>
  <c r="F5" i="28"/>
  <c r="F13" i="28"/>
  <c r="F11" i="28"/>
  <c r="F8" i="28"/>
  <c r="BF16" i="32"/>
  <c r="BD16" i="32"/>
  <c r="BG16" i="32"/>
  <c r="BM16" i="32"/>
  <c r="BH16" i="32"/>
  <c r="D16" i="17"/>
  <c r="E16" i="17"/>
  <c r="H14" i="28"/>
  <c r="J14" i="28"/>
  <c r="L14" i="28"/>
  <c r="AP16" i="32"/>
  <c r="K7" i="28"/>
  <c r="G6" i="28" l="1"/>
  <c r="E8" i="52"/>
  <c r="E9" i="52" s="1"/>
  <c r="E12" i="52" s="1"/>
  <c r="E13" i="52" s="1"/>
  <c r="C22" i="52"/>
  <c r="E20" i="52"/>
  <c r="D39" i="32"/>
  <c r="E39" i="32"/>
  <c r="I39" i="32"/>
  <c r="M39" i="32"/>
  <c r="F39" i="32"/>
  <c r="J39" i="32"/>
  <c r="N39" i="32"/>
  <c r="G39" i="32"/>
  <c r="K39" i="32"/>
  <c r="O39" i="32"/>
  <c r="H39" i="32"/>
  <c r="L39" i="32"/>
  <c r="E20" i="36"/>
  <c r="AC39" i="32"/>
  <c r="D20" i="36"/>
  <c r="AY39" i="32"/>
  <c r="AV39" i="32"/>
  <c r="BA39" i="32"/>
  <c r="AR39" i="32"/>
  <c r="AT39" i="32"/>
  <c r="AQ39" i="32"/>
  <c r="AW39" i="32"/>
  <c r="AU39" i="32"/>
  <c r="AZ39" i="32"/>
  <c r="BB39" i="32"/>
  <c r="AX39" i="32"/>
  <c r="AS39" i="32"/>
  <c r="F14" i="28"/>
  <c r="BO39" i="32"/>
  <c r="BF39" i="32"/>
  <c r="BN39" i="32"/>
  <c r="BE39" i="32"/>
  <c r="BI39" i="32"/>
  <c r="BD39" i="32"/>
  <c r="BH39" i="32"/>
  <c r="BJ39" i="32"/>
  <c r="BL39" i="32"/>
  <c r="BM39" i="32"/>
  <c r="BK39" i="32"/>
  <c r="BG39" i="32"/>
  <c r="AJ39" i="32"/>
  <c r="AG39" i="32"/>
  <c r="AM39" i="32"/>
  <c r="AN39" i="32"/>
  <c r="AE39" i="32"/>
  <c r="AH39" i="32"/>
  <c r="AK39" i="32"/>
  <c r="AO39" i="32"/>
  <c r="AI39" i="32"/>
  <c r="AD39" i="32"/>
  <c r="AL39" i="32"/>
  <c r="AF39" i="32"/>
  <c r="AP16" i="37"/>
  <c r="AP10" i="32"/>
  <c r="BB16" i="37"/>
  <c r="AC17" i="37"/>
  <c r="AC19" i="37"/>
  <c r="AC20" i="37" s="1"/>
  <c r="AC21" i="37" s="1"/>
  <c r="AD16" i="37"/>
  <c r="AD10" i="32"/>
  <c r="E10" i="32"/>
  <c r="D17" i="37"/>
  <c r="D19" i="37"/>
  <c r="D20" i="37" s="1"/>
  <c r="D21" i="37" s="1"/>
  <c r="E16" i="37"/>
  <c r="K16" i="32"/>
  <c r="E16" i="32"/>
  <c r="D16" i="32"/>
  <c r="O16" i="32"/>
  <c r="L16" i="32"/>
  <c r="G16" i="32"/>
  <c r="M16" i="32"/>
  <c r="I16" i="32"/>
  <c r="N16" i="32"/>
  <c r="H16" i="32"/>
  <c r="F16" i="32"/>
  <c r="J16" i="32"/>
  <c r="H6" i="28"/>
  <c r="G7" i="28"/>
  <c r="G10" i="28" s="1"/>
  <c r="H10" i="28" s="1"/>
  <c r="D13" i="19"/>
  <c r="D14" i="19" s="1"/>
  <c r="G6" i="19" s="1"/>
  <c r="AC11" i="32"/>
  <c r="BC16" i="32"/>
  <c r="I10" i="28"/>
  <c r="J10" i="28" s="1"/>
  <c r="BP16" i="32"/>
  <c r="D13" i="28"/>
  <c r="D11" i="28"/>
  <c r="D5" i="28"/>
  <c r="D8" i="28"/>
  <c r="D14" i="28"/>
  <c r="D15" i="17"/>
  <c r="W16" i="32"/>
  <c r="Z16" i="32"/>
  <c r="U16" i="32"/>
  <c r="Y16" i="32"/>
  <c r="S16" i="32"/>
  <c r="V16" i="32"/>
  <c r="T16" i="32"/>
  <c r="AB16" i="32"/>
  <c r="X16" i="32"/>
  <c r="Q16" i="32"/>
  <c r="AA16" i="32"/>
  <c r="R16" i="32"/>
  <c r="K10" i="28"/>
  <c r="L10" i="28" s="1"/>
  <c r="L7" i="28"/>
  <c r="E6" i="28" l="1"/>
  <c r="D8" i="52"/>
  <c r="D9" i="52" s="1"/>
  <c r="D12" i="52" s="1"/>
  <c r="D13" i="52" s="1"/>
  <c r="S39" i="32"/>
  <c r="Q39" i="32"/>
  <c r="AB39" i="32"/>
  <c r="U39" i="32"/>
  <c r="X39" i="32"/>
  <c r="AA39" i="32"/>
  <c r="R39" i="32"/>
  <c r="T39" i="32"/>
  <c r="Z39" i="32"/>
  <c r="V39" i="32"/>
  <c r="W39" i="32"/>
  <c r="Y39" i="32"/>
  <c r="AD17" i="37"/>
  <c r="AE10" i="32"/>
  <c r="AD19" i="37"/>
  <c r="AD20" i="37" s="1"/>
  <c r="AD21" i="37" s="1"/>
  <c r="AE16" i="37"/>
  <c r="BC10" i="32"/>
  <c r="BC16" i="37"/>
  <c r="BO16" i="37"/>
  <c r="BP10" i="32" s="1"/>
  <c r="F10" i="32"/>
  <c r="E19" i="37"/>
  <c r="E20" i="37" s="1"/>
  <c r="E21" i="37" s="1"/>
  <c r="E17" i="37"/>
  <c r="F16" i="37"/>
  <c r="AQ16" i="37"/>
  <c r="AP17" i="37"/>
  <c r="AP19" i="37"/>
  <c r="AP20" i="37" s="1"/>
  <c r="AP21" i="37" s="1"/>
  <c r="AQ10" i="32"/>
  <c r="H7" i="28"/>
  <c r="F6" i="28"/>
  <c r="E7" i="28"/>
  <c r="F7" i="28" s="1"/>
  <c r="D7" i="19"/>
  <c r="I12" i="28"/>
  <c r="AC16" i="32"/>
  <c r="G12" i="28"/>
  <c r="G15" i="28" s="1"/>
  <c r="K12" i="28"/>
  <c r="G20" i="52" l="1"/>
  <c r="D20" i="52"/>
  <c r="F20" i="52"/>
  <c r="H15" i="28"/>
  <c r="G18" i="28"/>
  <c r="G17" i="28"/>
  <c r="G16" i="28"/>
  <c r="L12" i="28"/>
  <c r="K15" i="28"/>
  <c r="J12" i="28"/>
  <c r="I15" i="28"/>
  <c r="D8" i="19"/>
  <c r="AR10" i="32"/>
  <c r="AR16" i="37"/>
  <c r="AQ19" i="37"/>
  <c r="AQ20" i="37" s="1"/>
  <c r="AQ21" i="37" s="1"/>
  <c r="AQ17" i="37"/>
  <c r="BD10" i="32"/>
  <c r="BC19" i="37"/>
  <c r="BC20" i="37" s="1"/>
  <c r="BC21" i="37" s="1"/>
  <c r="BD16" i="37"/>
  <c r="BC17" i="37"/>
  <c r="G10" i="32"/>
  <c r="F19" i="37"/>
  <c r="F20" i="37" s="1"/>
  <c r="F21" i="37" s="1"/>
  <c r="F17" i="37"/>
  <c r="G16" i="37"/>
  <c r="AE17" i="37"/>
  <c r="AE19" i="37"/>
  <c r="AE20" i="37" s="1"/>
  <c r="AE21" i="37" s="1"/>
  <c r="AF16" i="37"/>
  <c r="AF10" i="32"/>
  <c r="P16" i="32"/>
  <c r="H12" i="28"/>
  <c r="G5" i="19" l="1"/>
  <c r="C8" i="52" s="1"/>
  <c r="C9" i="52" s="1"/>
  <c r="C12" i="52" s="1"/>
  <c r="C13" i="52" s="1"/>
  <c r="AP37" i="32"/>
  <c r="H17" i="28"/>
  <c r="AP38" i="32"/>
  <c r="H18" i="28"/>
  <c r="AP36" i="32"/>
  <c r="H16" i="28"/>
  <c r="K17" i="28"/>
  <c r="K16" i="28"/>
  <c r="L15" i="28"/>
  <c r="K18" i="28"/>
  <c r="J15" i="28"/>
  <c r="I18" i="28"/>
  <c r="I17" i="28"/>
  <c r="I16" i="28"/>
  <c r="G19" i="28"/>
  <c r="H19" i="28" s="1"/>
  <c r="H10" i="32"/>
  <c r="G19" i="37"/>
  <c r="G20" i="37" s="1"/>
  <c r="G21" i="37" s="1"/>
  <c r="H16" i="37"/>
  <c r="AS10" i="32"/>
  <c r="AR17" i="37"/>
  <c r="AR19" i="37"/>
  <c r="AR20" i="37" s="1"/>
  <c r="AR21" i="37" s="1"/>
  <c r="AS16" i="37"/>
  <c r="AG10" i="32"/>
  <c r="AF17" i="37"/>
  <c r="AG16" i="37"/>
  <c r="AF19" i="37"/>
  <c r="AF20" i="37" s="1"/>
  <c r="AF21" i="37" s="1"/>
  <c r="BE10" i="32"/>
  <c r="BE16" i="37"/>
  <c r="BD17" i="37"/>
  <c r="BD19" i="37"/>
  <c r="BD20" i="37" s="1"/>
  <c r="BD21" i="37" s="1"/>
  <c r="I19" i="28" l="1"/>
  <c r="J19" i="28" s="1"/>
  <c r="C20" i="52"/>
  <c r="C6" i="28"/>
  <c r="BP36" i="32"/>
  <c r="L16" i="28"/>
  <c r="BC36" i="32"/>
  <c r="J16" i="28"/>
  <c r="K19" i="28"/>
  <c r="L19" i="28" s="1"/>
  <c r="L17" i="28"/>
  <c r="BP37" i="32"/>
  <c r="F19" i="36"/>
  <c r="AI38" i="32"/>
  <c r="AO38" i="32"/>
  <c r="AL38" i="32"/>
  <c r="AE38" i="32"/>
  <c r="AG38" i="32"/>
  <c r="AD38" i="32"/>
  <c r="AK38" i="32"/>
  <c r="AF38" i="32"/>
  <c r="AJ38" i="32"/>
  <c r="AM38" i="32"/>
  <c r="AH38" i="32"/>
  <c r="AN38" i="32"/>
  <c r="BC37" i="32"/>
  <c r="J17" i="28"/>
  <c r="L18" i="28"/>
  <c r="BP38" i="32"/>
  <c r="BC38" i="32"/>
  <c r="J18" i="28"/>
  <c r="AJ36" i="32"/>
  <c r="AK36" i="32"/>
  <c r="AN36" i="32"/>
  <c r="AG36" i="32"/>
  <c r="AL36" i="32"/>
  <c r="AH36" i="32"/>
  <c r="AD36" i="32"/>
  <c r="F17" i="36"/>
  <c r="AO36" i="32"/>
  <c r="AE36" i="32"/>
  <c r="AM36" i="32"/>
  <c r="AI36" i="32"/>
  <c r="AF36" i="32"/>
  <c r="AP41" i="32"/>
  <c r="AP42" i="32" s="1"/>
  <c r="C51" i="32" s="1"/>
  <c r="AI37" i="32"/>
  <c r="AL37" i="32"/>
  <c r="AE37" i="32"/>
  <c r="AN37" i="32"/>
  <c r="AK37" i="32"/>
  <c r="AD37" i="32"/>
  <c r="AJ37" i="32"/>
  <c r="F18" i="36"/>
  <c r="AH37" i="32"/>
  <c r="AF37" i="32"/>
  <c r="AG37" i="32"/>
  <c r="AO37" i="32"/>
  <c r="AM37" i="32"/>
  <c r="BF10" i="32"/>
  <c r="BF16" i="37"/>
  <c r="BE19" i="37"/>
  <c r="BE20" i="37" s="1"/>
  <c r="BE21" i="37" s="1"/>
  <c r="BE17" i="37"/>
  <c r="AG19" i="37"/>
  <c r="AG20" i="37" s="1"/>
  <c r="AG21" i="37" s="1"/>
  <c r="AH16" i="37"/>
  <c r="AG17" i="37"/>
  <c r="AH10" i="32"/>
  <c r="AT10" i="32"/>
  <c r="AT16" i="37"/>
  <c r="AS17" i="37"/>
  <c r="AS19" i="37"/>
  <c r="AS20" i="37" s="1"/>
  <c r="AS21" i="37" s="1"/>
  <c r="I16" i="37"/>
  <c r="H19" i="37"/>
  <c r="H20" i="37" s="1"/>
  <c r="H21" i="37" s="1"/>
  <c r="I10" i="32"/>
  <c r="H17" i="37"/>
  <c r="AI41" i="32" l="1"/>
  <c r="AI42" i="32" s="1"/>
  <c r="C7" i="28"/>
  <c r="D7" i="28" s="1"/>
  <c r="D6" i="28"/>
  <c r="AF41" i="32"/>
  <c r="AF42" i="32" s="1"/>
  <c r="AO41" i="32"/>
  <c r="AO42" i="32" s="1"/>
  <c r="AL41" i="32"/>
  <c r="AL42" i="32" s="1"/>
  <c r="H19" i="36"/>
  <c r="BG38" i="32"/>
  <c r="BM38" i="32"/>
  <c r="BO38" i="32"/>
  <c r="BE38" i="32"/>
  <c r="BL38" i="32"/>
  <c r="BD38" i="32"/>
  <c r="BF38" i="32"/>
  <c r="BN38" i="32"/>
  <c r="BH38" i="32"/>
  <c r="BJ38" i="32"/>
  <c r="BK38" i="32"/>
  <c r="BI38" i="32"/>
  <c r="F21" i="36"/>
  <c r="F23" i="36" s="1"/>
  <c r="AG41" i="32"/>
  <c r="AG42" i="32" s="1"/>
  <c r="E17" i="52"/>
  <c r="H18" i="36"/>
  <c r="BM37" i="32"/>
  <c r="BH37" i="32"/>
  <c r="BF37" i="32"/>
  <c r="BG37" i="32"/>
  <c r="BJ37" i="32"/>
  <c r="BO37" i="32"/>
  <c r="BL37" i="32"/>
  <c r="BN37" i="32"/>
  <c r="BK37" i="32"/>
  <c r="BI37" i="32"/>
  <c r="BE37" i="32"/>
  <c r="BD37" i="32"/>
  <c r="G17" i="36"/>
  <c r="BC41" i="32"/>
  <c r="BC42" i="32" s="1"/>
  <c r="C52" i="32" s="1"/>
  <c r="AZ36" i="32"/>
  <c r="AM41" i="32"/>
  <c r="AM42" i="32" s="1"/>
  <c r="AD41" i="32"/>
  <c r="AD42" i="32" s="1"/>
  <c r="AN41" i="32"/>
  <c r="AN42" i="32" s="1"/>
  <c r="AJ41" i="32"/>
  <c r="AJ42" i="32" s="1"/>
  <c r="AE41" i="32"/>
  <c r="AE42" i="32" s="1"/>
  <c r="AH41" i="32"/>
  <c r="AH42" i="32" s="1"/>
  <c r="AK41" i="32"/>
  <c r="AK42" i="32" s="1"/>
  <c r="G19" i="36"/>
  <c r="AS38" i="32"/>
  <c r="AZ38" i="32"/>
  <c r="AW38" i="32"/>
  <c r="BA38" i="32"/>
  <c r="BB38" i="32"/>
  <c r="AQ38" i="32"/>
  <c r="AY38" i="32"/>
  <c r="AU38" i="32"/>
  <c r="AT38" i="32"/>
  <c r="AX38" i="32"/>
  <c r="AV38" i="32"/>
  <c r="AR38" i="32"/>
  <c r="G18" i="36"/>
  <c r="AW37" i="32"/>
  <c r="AZ37" i="32"/>
  <c r="AU37" i="32"/>
  <c r="AT37" i="32"/>
  <c r="AQ37" i="32"/>
  <c r="AX37" i="32"/>
  <c r="BA37" i="32"/>
  <c r="AS37" i="32"/>
  <c r="BB37" i="32"/>
  <c r="AV37" i="32"/>
  <c r="AY37" i="32"/>
  <c r="AR37" i="32"/>
  <c r="BO36" i="32"/>
  <c r="H17" i="36"/>
  <c r="BP41" i="32"/>
  <c r="BP42" i="32" s="1"/>
  <c r="C53" i="32" s="1"/>
  <c r="AU10" i="32"/>
  <c r="AT19" i="37"/>
  <c r="AT20" i="37" s="1"/>
  <c r="AT21" i="37" s="1"/>
  <c r="AU16" i="37"/>
  <c r="AT17" i="37"/>
  <c r="AH17" i="37"/>
  <c r="AH19" i="37"/>
  <c r="AH20" i="37" s="1"/>
  <c r="AH21" i="37" s="1"/>
  <c r="AI16" i="37"/>
  <c r="AI10" i="32"/>
  <c r="J10" i="32"/>
  <c r="I17" i="37"/>
  <c r="I19" i="37"/>
  <c r="I20" i="37" s="1"/>
  <c r="I21" i="37" s="1"/>
  <c r="J16" i="37"/>
  <c r="BG10" i="32"/>
  <c r="BF17" i="37"/>
  <c r="BF19" i="37"/>
  <c r="BF20" i="37" s="1"/>
  <c r="BF21" i="37" s="1"/>
  <c r="BG16" i="37"/>
  <c r="E21" i="52" l="1"/>
  <c r="E24" i="52" s="1"/>
  <c r="E25" i="52" s="1"/>
  <c r="H21" i="36"/>
  <c r="H23" i="36" s="1"/>
  <c r="G17" i="52"/>
  <c r="AW36" i="32"/>
  <c r="AZ41" i="32"/>
  <c r="AZ42" i="32" s="1"/>
  <c r="G21" i="36"/>
  <c r="G23" i="36" s="1"/>
  <c r="BN36" i="32"/>
  <c r="BO41" i="32"/>
  <c r="BO42" i="32" s="1"/>
  <c r="F17" i="52"/>
  <c r="K10" i="32"/>
  <c r="J19" i="37"/>
  <c r="J20" i="37" s="1"/>
  <c r="J21" i="37" s="1"/>
  <c r="J17" i="37"/>
  <c r="K16" i="37"/>
  <c r="BH10" i="32"/>
  <c r="BG19" i="37"/>
  <c r="BG20" i="37" s="1"/>
  <c r="BG21" i="37" s="1"/>
  <c r="BH16" i="37"/>
  <c r="BG17" i="37"/>
  <c r="AJ10" i="32"/>
  <c r="AI17" i="37"/>
  <c r="AI19" i="37"/>
  <c r="AI20" i="37" s="1"/>
  <c r="AI21" i="37" s="1"/>
  <c r="AJ16" i="37"/>
  <c r="AV10" i="32"/>
  <c r="AU17" i="37"/>
  <c r="AU19" i="37"/>
  <c r="AU20" i="37" s="1"/>
  <c r="AU21" i="37" s="1"/>
  <c r="AV16" i="37"/>
  <c r="G21" i="52" l="1"/>
  <c r="G24" i="52" s="1"/>
  <c r="G25" i="52" s="1"/>
  <c r="F21" i="52"/>
  <c r="F24" i="52" s="1"/>
  <c r="F25" i="52" s="1"/>
  <c r="BM36" i="32"/>
  <c r="BN41" i="32"/>
  <c r="BN42" i="32" s="1"/>
  <c r="AT36" i="32"/>
  <c r="AW41" i="32"/>
  <c r="AW42" i="32" s="1"/>
  <c r="BI10" i="32"/>
  <c r="BH17" i="37"/>
  <c r="BH19" i="37"/>
  <c r="BH20" i="37" s="1"/>
  <c r="BH21" i="37" s="1"/>
  <c r="BI16" i="37"/>
  <c r="AW10" i="32"/>
  <c r="AW16" i="37"/>
  <c r="AV19" i="37"/>
  <c r="AV20" i="37" s="1"/>
  <c r="AV21" i="37" s="1"/>
  <c r="AV17" i="37"/>
  <c r="AK10" i="32"/>
  <c r="AJ17" i="37"/>
  <c r="AK16" i="37"/>
  <c r="AJ19" i="37"/>
  <c r="AJ20" i="37" s="1"/>
  <c r="AJ21" i="37" s="1"/>
  <c r="L10" i="32"/>
  <c r="K17" i="37"/>
  <c r="K19" i="37"/>
  <c r="K20" i="37" s="1"/>
  <c r="K21" i="37" s="1"/>
  <c r="L16" i="37"/>
  <c r="AQ36" i="32" l="1"/>
  <c r="AQ41" i="32" s="1"/>
  <c r="AQ42" i="32" s="1"/>
  <c r="AT41" i="32"/>
  <c r="AT42" i="32" s="1"/>
  <c r="BL36" i="32"/>
  <c r="BM41" i="32"/>
  <c r="BM42" i="32" s="1"/>
  <c r="AX10" i="32"/>
  <c r="AW17" i="37"/>
  <c r="AW19" i="37"/>
  <c r="AW20" i="37" s="1"/>
  <c r="AW21" i="37" s="1"/>
  <c r="AX16" i="37"/>
  <c r="AL10" i="32"/>
  <c r="AK19" i="37"/>
  <c r="AK20" i="37" s="1"/>
  <c r="AK21" i="37" s="1"/>
  <c r="AL16" i="37"/>
  <c r="AK17" i="37"/>
  <c r="BJ10" i="32"/>
  <c r="BI19" i="37"/>
  <c r="BI20" i="37" s="1"/>
  <c r="BI21" i="37" s="1"/>
  <c r="BI17" i="37"/>
  <c r="BJ16" i="37"/>
  <c r="M10" i="32"/>
  <c r="L19" i="37"/>
  <c r="L20" i="37" s="1"/>
  <c r="L21" i="37" s="1"/>
  <c r="L17" i="37"/>
  <c r="M16" i="37"/>
  <c r="BK36" i="32" l="1"/>
  <c r="BL41" i="32"/>
  <c r="BL42" i="32" s="1"/>
  <c r="N10" i="32"/>
  <c r="M17" i="37"/>
  <c r="M19" i="37"/>
  <c r="M20" i="37" s="1"/>
  <c r="M21" i="37" s="1"/>
  <c r="N16" i="37"/>
  <c r="BK10" i="32"/>
  <c r="BJ19" i="37"/>
  <c r="BJ20" i="37" s="1"/>
  <c r="BJ21" i="37" s="1"/>
  <c r="BJ17" i="37"/>
  <c r="BK16" i="37"/>
  <c r="AY10" i="32"/>
  <c r="AX19" i="37"/>
  <c r="AX20" i="37" s="1"/>
  <c r="AX21" i="37" s="1"/>
  <c r="AX17" i="37"/>
  <c r="AY16" i="37"/>
  <c r="AM10" i="32"/>
  <c r="AL17" i="37"/>
  <c r="AL19" i="37"/>
  <c r="AL20" i="37" s="1"/>
  <c r="AL21" i="37" s="1"/>
  <c r="AM16" i="37"/>
  <c r="BJ36" i="32" l="1"/>
  <c r="BK41" i="32"/>
  <c r="BK42" i="32" s="1"/>
  <c r="AZ10" i="32"/>
  <c r="AY17" i="37"/>
  <c r="AY19" i="37"/>
  <c r="AY20" i="37" s="1"/>
  <c r="AY21" i="37" s="1"/>
  <c r="AZ16" i="37"/>
  <c r="O10" i="32"/>
  <c r="N17" i="37"/>
  <c r="O16" i="37"/>
  <c r="N19" i="37"/>
  <c r="N20" i="37" s="1"/>
  <c r="N21" i="37" s="1"/>
  <c r="AN10" i="32"/>
  <c r="AM17" i="37"/>
  <c r="AM19" i="37"/>
  <c r="AM20" i="37" s="1"/>
  <c r="AM21" i="37" s="1"/>
  <c r="AN16" i="37"/>
  <c r="BL10" i="32"/>
  <c r="BK17" i="37"/>
  <c r="BL16" i="37"/>
  <c r="BK19" i="37"/>
  <c r="BK20" i="37" s="1"/>
  <c r="BK21" i="37" s="1"/>
  <c r="BI36" i="32" l="1"/>
  <c r="BJ41" i="32"/>
  <c r="BJ42" i="32" s="1"/>
  <c r="AO10" i="32"/>
  <c r="AN19" i="37"/>
  <c r="AN20" i="37" s="1"/>
  <c r="AN21" i="37" s="1"/>
  <c r="AN17" i="37"/>
  <c r="AO17" i="37" s="1"/>
  <c r="BA10" i="32"/>
  <c r="AZ17" i="37"/>
  <c r="BA16" i="37"/>
  <c r="AZ19" i="37"/>
  <c r="AZ20" i="37" s="1"/>
  <c r="AZ21" i="37" s="1"/>
  <c r="BM10" i="32"/>
  <c r="BM16" i="37"/>
  <c r="BL17" i="37"/>
  <c r="BL19" i="37"/>
  <c r="BL20" i="37" s="1"/>
  <c r="BL21" i="37" s="1"/>
  <c r="P10" i="32"/>
  <c r="P16" i="37"/>
  <c r="BH36" i="32" l="1"/>
  <c r="BI41" i="32"/>
  <c r="BI42" i="32" s="1"/>
  <c r="BB10" i="32"/>
  <c r="BA19" i="37"/>
  <c r="BA20" i="37" s="1"/>
  <c r="BA21" i="37" s="1"/>
  <c r="BA17" i="37"/>
  <c r="BB17" i="37" s="1"/>
  <c r="Q10" i="32"/>
  <c r="P19" i="37"/>
  <c r="P20" i="37" s="1"/>
  <c r="P21" i="37" s="1"/>
  <c r="P17" i="37"/>
  <c r="Q16" i="37"/>
  <c r="BN10" i="32"/>
  <c r="BM17" i="37"/>
  <c r="BN16" i="37"/>
  <c r="BM19" i="37"/>
  <c r="BM20" i="37" s="1"/>
  <c r="BM21" i="37" s="1"/>
  <c r="BG36" i="32" l="1"/>
  <c r="BH41" i="32"/>
  <c r="BH42" i="32" s="1"/>
  <c r="BO10" i="32"/>
  <c r="BN17" i="37"/>
  <c r="BO17" i="37" s="1"/>
  <c r="BN19" i="37"/>
  <c r="BN20" i="37" s="1"/>
  <c r="BN21" i="37" s="1"/>
  <c r="R10" i="32"/>
  <c r="Q17" i="37"/>
  <c r="Q19" i="37"/>
  <c r="Q20" i="37" s="1"/>
  <c r="Q21" i="37" s="1"/>
  <c r="R16" i="37"/>
  <c r="BF36" i="32" l="1"/>
  <c r="BG41" i="32"/>
  <c r="BG42" i="32" s="1"/>
  <c r="S10" i="32"/>
  <c r="R19" i="37"/>
  <c r="R20" i="37" s="1"/>
  <c r="R21" i="37" s="1"/>
  <c r="R17" i="37"/>
  <c r="S16" i="37"/>
  <c r="BE36" i="32" l="1"/>
  <c r="BF41" i="32"/>
  <c r="BF42" i="32" s="1"/>
  <c r="T10" i="32"/>
  <c r="S19" i="37"/>
  <c r="S20" i="37" s="1"/>
  <c r="S21" i="37" s="1"/>
  <c r="S17" i="37"/>
  <c r="T16" i="37"/>
  <c r="BB36" i="32" l="1"/>
  <c r="BD36" i="32"/>
  <c r="BE41" i="32"/>
  <c r="BE42" i="32" s="1"/>
  <c r="U10" i="32"/>
  <c r="T17" i="37"/>
  <c r="T19" i="37"/>
  <c r="T20" i="37" s="1"/>
  <c r="T21" i="37" s="1"/>
  <c r="U16" i="37"/>
  <c r="BA36" i="32" l="1"/>
  <c r="BD41" i="32"/>
  <c r="BD42" i="32" s="1"/>
  <c r="AY36" i="32"/>
  <c r="BB41" i="32"/>
  <c r="BB42" i="32" s="1"/>
  <c r="V10" i="32"/>
  <c r="U19" i="37"/>
  <c r="U20" i="37" s="1"/>
  <c r="U21" i="37" s="1"/>
  <c r="U17" i="37"/>
  <c r="V16" i="37"/>
  <c r="AV36" i="32" l="1"/>
  <c r="AY41" i="32"/>
  <c r="AY42" i="32" s="1"/>
  <c r="AX36" i="32"/>
  <c r="BA41" i="32"/>
  <c r="BA42" i="32" s="1"/>
  <c r="W10" i="32"/>
  <c r="V19" i="37"/>
  <c r="V20" i="37" s="1"/>
  <c r="V21" i="37" s="1"/>
  <c r="V17" i="37"/>
  <c r="W16" i="37"/>
  <c r="AU36" i="32" l="1"/>
  <c r="AX41" i="32"/>
  <c r="AX42" i="32" s="1"/>
  <c r="AS36" i="32"/>
  <c r="AS41" i="32" s="1"/>
  <c r="AS42" i="32" s="1"/>
  <c r="AV41" i="32"/>
  <c r="AV42" i="32" s="1"/>
  <c r="X10" i="32"/>
  <c r="W19" i="37"/>
  <c r="W20" i="37" s="1"/>
  <c r="W21" i="37" s="1"/>
  <c r="W17" i="37"/>
  <c r="X16" i="37"/>
  <c r="AR36" i="32" l="1"/>
  <c r="AR41" i="32" s="1"/>
  <c r="AR42" i="32" s="1"/>
  <c r="AU41" i="32"/>
  <c r="AU42" i="32" s="1"/>
  <c r="Y10" i="32"/>
  <c r="X17" i="37"/>
  <c r="X19" i="37"/>
  <c r="X20" i="37" s="1"/>
  <c r="X21" i="37" s="1"/>
  <c r="Y16" i="37"/>
  <c r="Z10" i="32" l="1"/>
  <c r="Y17" i="37"/>
  <c r="Y19" i="37"/>
  <c r="Y20" i="37" s="1"/>
  <c r="Y21" i="37" s="1"/>
  <c r="Z16" i="37"/>
  <c r="AA10" i="32" l="1"/>
  <c r="Z17" i="37"/>
  <c r="Z19" i="37"/>
  <c r="Z20" i="37" s="1"/>
  <c r="Z21" i="37" s="1"/>
  <c r="AA16" i="37"/>
  <c r="AB10" i="32" l="1"/>
  <c r="AA17" i="37"/>
  <c r="AB17" i="37" s="1"/>
  <c r="BR21" i="37" s="1"/>
  <c r="BS27" i="37" s="1"/>
  <c r="BS28" i="37" s="1"/>
  <c r="AA19" i="37"/>
  <c r="AA20" i="37" s="1"/>
  <c r="AA21" i="37" s="1"/>
  <c r="F25" i="21"/>
  <c r="F26" i="21" s="1"/>
  <c r="C31" i="21" s="1"/>
  <c r="E14" i="36" l="1"/>
  <c r="E9" i="28"/>
  <c r="E10" i="28" l="1"/>
  <c r="F9" i="28"/>
  <c r="F10" i="28" l="1"/>
  <c r="E12" i="28"/>
  <c r="E15" i="28" l="1"/>
  <c r="F12" i="28"/>
  <c r="E18" i="28" l="1"/>
  <c r="F15" i="28"/>
  <c r="E17" i="28"/>
  <c r="E16" i="28"/>
  <c r="AC36" i="32" l="1"/>
  <c r="F16" i="28"/>
  <c r="AC38" i="32"/>
  <c r="F18" i="28"/>
  <c r="AC37" i="32"/>
  <c r="F17" i="28"/>
  <c r="E19" i="28"/>
  <c r="E18" i="36" l="1"/>
  <c r="Y37" i="32"/>
  <c r="AA37" i="32"/>
  <c r="V37" i="32"/>
  <c r="X37" i="32"/>
  <c r="Q37" i="32"/>
  <c r="R37" i="32"/>
  <c r="S37" i="32"/>
  <c r="AB37" i="32"/>
  <c r="T37" i="32"/>
  <c r="W37" i="32"/>
  <c r="U37" i="32"/>
  <c r="Z37" i="32"/>
  <c r="X36" i="32"/>
  <c r="Z36" i="32"/>
  <c r="Y36" i="32"/>
  <c r="T36" i="32"/>
  <c r="AA36" i="32"/>
  <c r="R36" i="32"/>
  <c r="W36" i="32"/>
  <c r="U36" i="32"/>
  <c r="E17" i="36"/>
  <c r="AB36" i="32"/>
  <c r="AC41" i="32"/>
  <c r="AC42" i="32" s="1"/>
  <c r="C50" i="32" s="1"/>
  <c r="Q36" i="32"/>
  <c r="S36" i="32"/>
  <c r="V36" i="32"/>
  <c r="F19" i="28"/>
  <c r="U38" i="32"/>
  <c r="T38" i="32"/>
  <c r="Q38" i="32"/>
  <c r="R38" i="32"/>
  <c r="Y38" i="32"/>
  <c r="W38" i="32"/>
  <c r="V38" i="32"/>
  <c r="X38" i="32"/>
  <c r="Z38" i="32"/>
  <c r="S38" i="32"/>
  <c r="AB38" i="32"/>
  <c r="AA38" i="32"/>
  <c r="E19" i="36"/>
  <c r="Q41" i="32" l="1"/>
  <c r="Q42" i="32" s="1"/>
  <c r="E21" i="36"/>
  <c r="E23" i="36" s="1"/>
  <c r="U41" i="32"/>
  <c r="U42" i="32" s="1"/>
  <c r="AA41" i="32"/>
  <c r="AA42" i="32" s="1"/>
  <c r="X41" i="32"/>
  <c r="X42" i="32" s="1"/>
  <c r="T41" i="32"/>
  <c r="T42" i="32" s="1"/>
  <c r="V41" i="32"/>
  <c r="V42" i="32" s="1"/>
  <c r="D17" i="52"/>
  <c r="W41" i="32"/>
  <c r="W42" i="32" s="1"/>
  <c r="Y41" i="32"/>
  <c r="Y42" i="32" s="1"/>
  <c r="S41" i="32"/>
  <c r="S42" i="32" s="1"/>
  <c r="AB41" i="32"/>
  <c r="AB42" i="32" s="1"/>
  <c r="R41" i="32"/>
  <c r="R42" i="32" s="1"/>
  <c r="Z41" i="32"/>
  <c r="Z42" i="32" s="1"/>
  <c r="D25" i="21"/>
  <c r="D26" i="21" s="1"/>
  <c r="D21" i="52" l="1"/>
  <c r="D24" i="52" s="1"/>
  <c r="D25" i="52" s="1"/>
  <c r="C9" i="28"/>
  <c r="C30" i="21"/>
  <c r="D14" i="36"/>
  <c r="D9" i="28" l="1"/>
  <c r="C10" i="28"/>
  <c r="C12" i="28" l="1"/>
  <c r="D10" i="28"/>
  <c r="D12" i="28" l="1"/>
  <c r="C15" i="28"/>
  <c r="C18" i="28" l="1"/>
  <c r="C16" i="28"/>
  <c r="D15" i="28"/>
  <c r="C17" i="28"/>
  <c r="C19" i="28" l="1"/>
  <c r="C20" i="28" s="1"/>
  <c r="D16" i="28"/>
  <c r="P36" i="32"/>
  <c r="D17" i="28"/>
  <c r="P37" i="32"/>
  <c r="D18" i="28"/>
  <c r="P38" i="32"/>
  <c r="D19" i="28" l="1"/>
  <c r="O38" i="32"/>
  <c r="F38" i="32"/>
  <c r="E38" i="32"/>
  <c r="D19" i="36"/>
  <c r="M38" i="32"/>
  <c r="K38" i="32"/>
  <c r="N38" i="32"/>
  <c r="J38" i="32"/>
  <c r="H38" i="32"/>
  <c r="D38" i="32"/>
  <c r="I38" i="32"/>
  <c r="G38" i="32"/>
  <c r="L38" i="32"/>
  <c r="D36" i="32"/>
  <c r="E36" i="32"/>
  <c r="O36" i="32"/>
  <c r="I36" i="32"/>
  <c r="K36" i="32"/>
  <c r="P41" i="32"/>
  <c r="P42" i="32" s="1"/>
  <c r="J36" i="32"/>
  <c r="D17" i="36"/>
  <c r="G36" i="32"/>
  <c r="N36" i="32"/>
  <c r="M36" i="32"/>
  <c r="H36" i="32"/>
  <c r="F36" i="32"/>
  <c r="L36" i="32"/>
  <c r="E37" i="32"/>
  <c r="N37" i="32"/>
  <c r="G37" i="32"/>
  <c r="H37" i="32"/>
  <c r="D37" i="32"/>
  <c r="O37" i="32"/>
  <c r="F37" i="32"/>
  <c r="J37" i="32"/>
  <c r="D18" i="36"/>
  <c r="L37" i="32"/>
  <c r="M37" i="32"/>
  <c r="I37" i="32"/>
  <c r="K37" i="32"/>
  <c r="D20" i="28"/>
  <c r="E20" i="28"/>
  <c r="L41" i="32" l="1"/>
  <c r="L42" i="32" s="1"/>
  <c r="M41" i="32"/>
  <c r="M42" i="32" s="1"/>
  <c r="J41" i="32"/>
  <c r="J42" i="32" s="1"/>
  <c r="O41" i="32"/>
  <c r="O42" i="32" s="1"/>
  <c r="G20" i="28"/>
  <c r="F20" i="28"/>
  <c r="F41" i="32"/>
  <c r="F42" i="32" s="1"/>
  <c r="N41" i="32"/>
  <c r="N42" i="32" s="1"/>
  <c r="AC43" i="32"/>
  <c r="C49" i="32"/>
  <c r="P43" i="32"/>
  <c r="E41" i="32"/>
  <c r="E42" i="32" s="1"/>
  <c r="C17" i="52"/>
  <c r="C21" i="52" s="1"/>
  <c r="G41" i="32"/>
  <c r="G42" i="32" s="1"/>
  <c r="K41" i="32"/>
  <c r="K42" i="32" s="1"/>
  <c r="D41" i="32"/>
  <c r="D42" i="32" s="1"/>
  <c r="D43" i="32" s="1"/>
  <c r="H41" i="32"/>
  <c r="H42" i="32" s="1"/>
  <c r="D21" i="36"/>
  <c r="D23" i="36" s="1"/>
  <c r="I41" i="32"/>
  <c r="I42" i="32" s="1"/>
  <c r="C24" i="52" l="1"/>
  <c r="C25" i="52" s="1"/>
  <c r="AD43" i="32"/>
  <c r="AE43" i="32" s="1"/>
  <c r="AF43" i="32" s="1"/>
  <c r="AG43" i="32" s="1"/>
  <c r="AH43" i="32" s="1"/>
  <c r="AI43" i="32" s="1"/>
  <c r="AJ43" i="32" s="1"/>
  <c r="AK43" i="32" s="1"/>
  <c r="AL43" i="32" s="1"/>
  <c r="AM43" i="32" s="1"/>
  <c r="AN43" i="32" s="1"/>
  <c r="AO43" i="32" s="1"/>
  <c r="AP43" i="32"/>
  <c r="I20" i="28"/>
  <c r="H20" i="28"/>
  <c r="E43" i="32"/>
  <c r="F43" i="32" s="1"/>
  <c r="G43" i="32" s="1"/>
  <c r="H43" i="32" s="1"/>
  <c r="I43" i="32" s="1"/>
  <c r="J43" i="32" s="1"/>
  <c r="K43" i="32" s="1"/>
  <c r="L43" i="32" s="1"/>
  <c r="M43" i="32" s="1"/>
  <c r="N43" i="32" s="1"/>
  <c r="O43" i="32" s="1"/>
  <c r="Q43" i="32" s="1"/>
  <c r="R43" i="32" s="1"/>
  <c r="S43" i="32" s="1"/>
  <c r="T43" i="32" s="1"/>
  <c r="U43" i="32" s="1"/>
  <c r="V43" i="32" s="1"/>
  <c r="W43" i="32" s="1"/>
  <c r="X43" i="32" s="1"/>
  <c r="Y43" i="32" s="1"/>
  <c r="Z43" i="32" s="1"/>
  <c r="AA43" i="32" s="1"/>
  <c r="AB43" i="32" s="1"/>
  <c r="K20" i="28" l="1"/>
  <c r="L20" i="28" s="1"/>
  <c r="J20" i="28"/>
  <c r="AQ43" i="32"/>
  <c r="BC43" i="32"/>
  <c r="BP43" i="32" l="1"/>
  <c r="BD43" i="32"/>
  <c r="BE43" i="32" s="1"/>
  <c r="BF43" i="32" s="1"/>
  <c r="BG43" i="32" s="1"/>
  <c r="BH43" i="32" s="1"/>
  <c r="BI43" i="32" s="1"/>
  <c r="BJ43" i="32" s="1"/>
  <c r="BK43" i="32" s="1"/>
  <c r="BL43" i="32" s="1"/>
  <c r="BM43" i="32" s="1"/>
  <c r="BN43" i="32" s="1"/>
  <c r="BO43" i="32" s="1"/>
  <c r="AR43" i="32"/>
  <c r="AS43" i="32" s="1"/>
  <c r="AT43" i="32" s="1"/>
  <c r="AU43" i="32" s="1"/>
  <c r="AV43" i="32" s="1"/>
  <c r="AW43" i="32" s="1"/>
  <c r="AX43" i="32" s="1"/>
  <c r="AY43" i="32" s="1"/>
  <c r="AZ43" i="32" s="1"/>
  <c r="BA43" i="32" s="1"/>
  <c r="BB43" i="32" s="1"/>
  <c r="C45" i="32" l="1"/>
  <c r="C10" i="36" s="1"/>
  <c r="O6" i="25" l="1"/>
  <c r="C21" i="36"/>
  <c r="C23" i="36" s="1"/>
  <c r="C25" i="36" s="1"/>
  <c r="D25" i="36" s="1"/>
  <c r="E25" i="36" s="1"/>
  <c r="F25" i="36" s="1"/>
  <c r="G25" i="36" s="1"/>
  <c r="H25" i="36" s="1"/>
  <c r="C48" i="32"/>
  <c r="C56" i="32" l="1" a="1"/>
  <c r="C56" i="32" s="1"/>
  <c r="D10" i="44" s="1"/>
  <c r="C57" i="32"/>
  <c r="E10" i="44" s="1"/>
</calcChain>
</file>

<file path=xl/sharedStrings.xml><?xml version="1.0" encoding="utf-8"?>
<sst xmlns="http://schemas.openxmlformats.org/spreadsheetml/2006/main" count="4057" uniqueCount="1328">
  <si>
    <t>Índice</t>
  </si>
  <si>
    <t>1 - Estudio de mercado</t>
  </si>
  <si>
    <t>1.1  - Analisis total empresas contructoras en Argentina periodo 2018-2023</t>
  </si>
  <si>
    <t>1.2 - Analisis total metros cuadrados autorizados a construccion periodo 2020 - 2023 - CABA y 176 principales municipios del pais</t>
  </si>
  <si>
    <t>1.3 - Analisis demanda hormigon elaborado periodo 2017-2023</t>
  </si>
  <si>
    <t>1.4 - Estimacion de la demanda y analisis de hormigon elaborado periodo 2024 - 2028 - Regresion por minimos cuadrados con factor estacional</t>
  </si>
  <si>
    <t>1.5 - Estimacion de la demanda de aliviandores de losa periodo 2024 - 2028</t>
  </si>
  <si>
    <t>1.6 - Analisis politica de precios</t>
  </si>
  <si>
    <t>2 - Instalaciones</t>
  </si>
  <si>
    <t>2.1 - Instalacion de iluminacion</t>
  </si>
  <si>
    <t>2.2 - Instalacion de refrigeracion</t>
  </si>
  <si>
    <t>2.3 - Instalacion de proteccion contra incendios</t>
  </si>
  <si>
    <t>2.4 - Instalacion de ventilacion</t>
  </si>
  <si>
    <t>2.5 - Instalacion de agua</t>
  </si>
  <si>
    <t>2.6 - Instalacion de aire</t>
  </si>
  <si>
    <t>2.7 - Instalacion de potencia</t>
  </si>
  <si>
    <t>3 - Estudio Tecnico</t>
  </si>
  <si>
    <t>3.1 - Localizacion de planta</t>
  </si>
  <si>
    <t>3.2 - Diagrama arboreo</t>
  </si>
  <si>
    <t>3.3 - Lista de materiales</t>
  </si>
  <si>
    <t>3.4 - Plan de fabricacion</t>
  </si>
  <si>
    <t>3.5 - Determinacion del personal requerido</t>
  </si>
  <si>
    <t>3.6 - Determinarcion costos de materia prima</t>
  </si>
  <si>
    <t xml:space="preserve">3.7 - Determinacion costos mano de obra directa </t>
  </si>
  <si>
    <t>3.8 - Determinacion costos comunes de produccion</t>
  </si>
  <si>
    <t>3.9 - Costeo por absorcion del producto</t>
  </si>
  <si>
    <t>3.10 - Inversiones periodo 2024-2028</t>
  </si>
  <si>
    <t>3.11 - Presupuesto gastos</t>
  </si>
  <si>
    <t>3.12 - Punto de equilibrio</t>
  </si>
  <si>
    <t>3.13 - Politica de stock MP</t>
  </si>
  <si>
    <t>3.14 - Politica de stock PT</t>
  </si>
  <si>
    <t>4 - Estudio Economico</t>
  </si>
  <si>
    <t xml:space="preserve">4.1 - Cash Flow </t>
  </si>
  <si>
    <t>4.2 - Flujo de fondos</t>
  </si>
  <si>
    <t>4.3 - Financiación</t>
  </si>
  <si>
    <t>4.4 - Amortizaciones</t>
  </si>
  <si>
    <t>4.5 - Estado de resultados</t>
  </si>
  <si>
    <t>5 - Estudio Ambiental</t>
  </si>
  <si>
    <t>5.1 - Matriz de Leopold</t>
  </si>
  <si>
    <t>6 - Estudio de riesgos</t>
  </si>
  <si>
    <t>6.1 - Matriz de riegos</t>
  </si>
  <si>
    <t>6.2 - Analisis de sensibilidad</t>
  </si>
  <si>
    <t>7 - Analisis de escenarios</t>
  </si>
  <si>
    <t>7.1 - Escenario Optimista</t>
  </si>
  <si>
    <t>7.2 - Escenario Optimista Modificado</t>
  </si>
  <si>
    <t>7.3 - Escenario Pesimista</t>
  </si>
  <si>
    <t>7.4 - Escenario Pesimista modificado</t>
  </si>
  <si>
    <t>7.5 - Analisis comparativo</t>
  </si>
  <si>
    <t>Volver a indice</t>
  </si>
  <si>
    <t>INDICE</t>
  </si>
  <si>
    <t>Año</t>
  </si>
  <si>
    <t>Mes</t>
  </si>
  <si>
    <t>Total empresas A+B</t>
  </si>
  <si>
    <t>Enero</t>
  </si>
  <si>
    <t>Febrero</t>
  </si>
  <si>
    <t>Marzo</t>
  </si>
  <si>
    <t>Abril</t>
  </si>
  <si>
    <t>Mayo</t>
  </si>
  <si>
    <t>Junio</t>
  </si>
  <si>
    <t>Julio</t>
  </si>
  <si>
    <t>Agosto</t>
  </si>
  <si>
    <t>Septiembre</t>
  </si>
  <si>
    <t>Octubre</t>
  </si>
  <si>
    <t>Noviembre</t>
  </si>
  <si>
    <t>Diciembre</t>
  </si>
  <si>
    <t>Metros cuadrados</t>
  </si>
  <si>
    <t>Promedio</t>
  </si>
  <si>
    <t>Relacion</t>
  </si>
  <si>
    <t>Hormigón elaborado</t>
  </si>
  <si>
    <t>Poryeccion demanda Hormigon Elaborado</t>
  </si>
  <si>
    <t>Periodo (X)</t>
  </si>
  <si>
    <t>Hormigón elaborado (miles de ton)</t>
  </si>
  <si>
    <t>FE</t>
  </si>
  <si>
    <t>yd</t>
  </si>
  <si>
    <t>x^2</t>
  </si>
  <si>
    <t>x * yd</t>
  </si>
  <si>
    <t>B</t>
  </si>
  <si>
    <t>A</t>
  </si>
  <si>
    <t>Maximo consumo</t>
  </si>
  <si>
    <t>Periodo Pre - Pandemico</t>
  </si>
  <si>
    <t>Poryeccion demanda Hormigon Elaborado 2023 - 2027</t>
  </si>
  <si>
    <t>Proyeccion Hormigon elaborado periodo 2024-2028 -- Respecto datos historicos 2021-2023</t>
  </si>
  <si>
    <t>Y</t>
  </si>
  <si>
    <t>Por debajo de valores historicos pre - pandemicos</t>
  </si>
  <si>
    <t>Similar a valores historicos pre - pandemicos</t>
  </si>
  <si>
    <t>Similar  valores historicos pre - pandemicos</t>
  </si>
  <si>
    <t>Levemente por encima de valores historicos pre - pandemicos</t>
  </si>
  <si>
    <t>Por encima de valores historicos pre - pandemicos</t>
  </si>
  <si>
    <t>En resumen, la proyeccion de la demanda para el periodo de 2024-2028, del hormigon elaborado queda es el siguiente:</t>
  </si>
  <si>
    <t>Proyeccion demanda hormigon elaborado periodo 2023-2027</t>
  </si>
  <si>
    <t>Demanda</t>
  </si>
  <si>
    <t>Período</t>
  </si>
  <si>
    <t>Destinado a la fabricacion de losas (miles de toneladas)</t>
  </si>
  <si>
    <t>Cantidad de hormigon (kg)</t>
  </si>
  <si>
    <t>Cantidad de metros cubicos</t>
  </si>
  <si>
    <t>Cantidad de metros cuadrados</t>
  </si>
  <si>
    <t>Cuantos discos se requeririan (Si todas las losas se hicieran con alivianadores)</t>
  </si>
  <si>
    <t>Porcentaje de mercado</t>
  </si>
  <si>
    <t>Ramp up</t>
  </si>
  <si>
    <t>Demanda alivianadores</t>
  </si>
  <si>
    <t>Pormedio mensual alivianadores</t>
  </si>
  <si>
    <t>Total demanda anual alivianadores</t>
  </si>
  <si>
    <t>Promedio mensual metros cuadrados</t>
  </si>
  <si>
    <t>Total metros cuadrados anuales</t>
  </si>
  <si>
    <t>Datos</t>
  </si>
  <si>
    <t>Procentaje destinado a losas</t>
  </si>
  <si>
    <t>Procentaje de ahorro de hormigon</t>
  </si>
  <si>
    <t>Densidad promedio del hormigon</t>
  </si>
  <si>
    <t>Kg/M3</t>
  </si>
  <si>
    <t>Cuantos alivianadores se requieren por m2</t>
  </si>
  <si>
    <t>unidades</t>
  </si>
  <si>
    <t>Cuantos m3 de hormigon se requiere por m2</t>
  </si>
  <si>
    <t>M3/m2</t>
  </si>
  <si>
    <t>Cuanto mercado queremos tomar?</t>
  </si>
  <si>
    <t>Acero (kg)</t>
  </si>
  <si>
    <t>Utilizando Alivianadores</t>
  </si>
  <si>
    <t>Losa maciza tradicional</t>
  </si>
  <si>
    <t xml:space="preserve">Promedio mensual m2 autorizados </t>
  </si>
  <si>
    <t>Considerando 176 municipios</t>
  </si>
  <si>
    <t>Considerando CABA solo obras nuevas</t>
  </si>
  <si>
    <t>Promedio anual</t>
  </si>
  <si>
    <t>Promedio mensual</t>
  </si>
  <si>
    <t>N°</t>
  </si>
  <si>
    <t>Total alivianadores</t>
  </si>
  <si>
    <t>M2</t>
  </si>
  <si>
    <t>% de mercado</t>
  </si>
  <si>
    <t>Volver al indice</t>
  </si>
  <si>
    <t>Tipo</t>
  </si>
  <si>
    <t>Precio</t>
  </si>
  <si>
    <t>Unidad</t>
  </si>
  <si>
    <t>Hormigon H21</t>
  </si>
  <si>
    <t>Metro cubico</t>
  </si>
  <si>
    <t>Acero para construccion</t>
  </si>
  <si>
    <t>kg</t>
  </si>
  <si>
    <t>Cuanto hormigon se requiere por M2</t>
  </si>
  <si>
    <t>metro cubico</t>
  </si>
  <si>
    <t>Cuanto acero se require por M2</t>
  </si>
  <si>
    <t>Kg</t>
  </si>
  <si>
    <t xml:space="preserve">Ahorro de hormigon </t>
  </si>
  <si>
    <t>Porcentaje</t>
  </si>
  <si>
    <t>Ahorro de acero</t>
  </si>
  <si>
    <t>Ahorro en costos de acero y hormigon:</t>
  </si>
  <si>
    <t>Ahorro</t>
  </si>
  <si>
    <t xml:space="preserve">Cuantos alivianadores se requieren por M2 </t>
  </si>
  <si>
    <t>Hormigon</t>
  </si>
  <si>
    <t>Acero</t>
  </si>
  <si>
    <t>Precio unitario por alivianador</t>
  </si>
  <si>
    <t>Total</t>
  </si>
  <si>
    <t>En primera instancia se verifica el precio de cada alivianador, de forma tal que para el cliente no varia el costo de construccion dependiendo del sistrema elegido (tradicional vs Eco-Sphere)</t>
  </si>
  <si>
    <t>Ahora bien, como primera medida, podriamos determinar que el precio de nuestro producto, no deberia superar los costos de la construccion tradicional. En segunda instancia, decidimos analizar los precios de la competencia:</t>
  </si>
  <si>
    <t>Bubbledeck</t>
  </si>
  <si>
    <t>Precio c/iva</t>
  </si>
  <si>
    <t>Unidades por m2</t>
  </si>
  <si>
    <t>Precio Unitario</t>
  </si>
  <si>
    <t>315mm</t>
  </si>
  <si>
    <t>270mm</t>
  </si>
  <si>
    <t xml:space="preserve">En base a los precios de nuestra competencia, el mismo no cuenta con esferas de la misma medidas, por ello, realizamos un promedio ponderado entre las que se encuentra la nuestra, para definir un precio aproximado que tendria </t>
  </si>
  <si>
    <t>Para ser competitivos en el mercado, y considerando los costos asociados a nuestro porducto, se plantea que el precio de venta de Eco-Sphere sea del 90% del precio de venta de nuestra competencia, con un incremento anual del 5%</t>
  </si>
  <si>
    <t>Precio unitario Eco-Sphere</t>
  </si>
  <si>
    <t>Proyectando el precio de venta con este criterio</t>
  </si>
  <si>
    <t>Precio de venta ($)</t>
  </si>
  <si>
    <t>Precio competencia ($)</t>
  </si>
  <si>
    <t>Diferencia</t>
  </si>
  <si>
    <t>Considerando la proyeccion de la inflacion y pasando a valores de USD se obtiene</t>
  </si>
  <si>
    <t>Precio de venta (USD)</t>
  </si>
  <si>
    <t>Precio competencia (usd)</t>
  </si>
  <si>
    <t>Valor USD</t>
  </si>
  <si>
    <t>Inflacion</t>
  </si>
  <si>
    <t>Incremento</t>
  </si>
  <si>
    <t>A continuacion, se adjuntan los link de los precios determinados anteriormente</t>
  </si>
  <si>
    <t xml:space="preserve">Obtenido de </t>
  </si>
  <si>
    <t>https://articulo.mercadolibre.com.ar/MLA-1363274440-hormigon-elaborado-m3-h21-financiacion-_JM#polycard_client=search-nordic&amp;position=2&amp;search_layout=grid&amp;type=item&amp;tracking_id=696575a5-47a8-4760-8fb8-10be2c0c4568</t>
  </si>
  <si>
    <t>Bubbledeck 315mm</t>
  </si>
  <si>
    <t>https://www.sinis.com.ar/productos/bubbledeck-y-accesorios/esferas-de-bubbledeck-por-m2/esferas-de-315-mm-por-m2</t>
  </si>
  <si>
    <t>Bubbledeck 270mm</t>
  </si>
  <si>
    <t>https://www.sinis.com.ar/productos/bubbledeck-y-accesorios/esferas-de-bubbledeck-por-m2/esferas-de-270-mm-por-m2</t>
  </si>
  <si>
    <t>Zona</t>
  </si>
  <si>
    <t>Descripcion</t>
  </si>
  <si>
    <t>a: Ancho (m)</t>
  </si>
  <si>
    <t>b: Largo (m)</t>
  </si>
  <si>
    <t>Superficie (M2)</t>
  </si>
  <si>
    <t>h': Altura Total (m)</t>
  </si>
  <si>
    <t>Altura trabajo</t>
  </si>
  <si>
    <t>d</t>
  </si>
  <si>
    <t>h</t>
  </si>
  <si>
    <t>Índice del local K</t>
  </si>
  <si>
    <t>Valor K (Tabla)</t>
  </si>
  <si>
    <t>Iluminancia Requerida - E (Lx)</t>
  </si>
  <si>
    <t xml:space="preserve">Factor de reflexion techo </t>
  </si>
  <si>
    <t>Factor de reflexion Paredes</t>
  </si>
  <si>
    <t>Factor de reflexion piso</t>
  </si>
  <si>
    <t>Factor de utilizacion (η)</t>
  </si>
  <si>
    <t>Factor de mantenimiento (Fm)</t>
  </si>
  <si>
    <t>Tipo de luminaria</t>
  </si>
  <si>
    <t>Flujo Luminoso (ɸT)</t>
  </si>
  <si>
    <t>N</t>
  </si>
  <si>
    <t>Luminaria</t>
  </si>
  <si>
    <t>N instaladas</t>
  </si>
  <si>
    <t>Potencia (Watts)</t>
  </si>
  <si>
    <t>Potencia total</t>
  </si>
  <si>
    <t>Deposito de Materia prima</t>
  </si>
  <si>
    <t>Luminaria industrial suspendida tipo 2</t>
  </si>
  <si>
    <t>Lampara Sodio 70w</t>
  </si>
  <si>
    <t>Deposito de Producto Terminado</t>
  </si>
  <si>
    <t>Vestuario</t>
  </si>
  <si>
    <t>Comercial Tipo 19</t>
  </si>
  <si>
    <t>Ledex L2234</t>
  </si>
  <si>
    <t>Produccion</t>
  </si>
  <si>
    <t>Lampara sodio 150w</t>
  </si>
  <si>
    <t>Recepcion</t>
  </si>
  <si>
    <t>Ledex L2215</t>
  </si>
  <si>
    <t>Baño hombres</t>
  </si>
  <si>
    <t>Baño mujeres</t>
  </si>
  <si>
    <t>Oficina 1</t>
  </si>
  <si>
    <t>Led integrado 60w</t>
  </si>
  <si>
    <t>Oficina 2</t>
  </si>
  <si>
    <t>Oficina 3</t>
  </si>
  <si>
    <t>Pasillo</t>
  </si>
  <si>
    <t>Comedor</t>
  </si>
  <si>
    <t>Pañol</t>
  </si>
  <si>
    <t>Datos Luminarias</t>
  </si>
  <si>
    <t>Flujo en lm de cada lámpara</t>
  </si>
  <si>
    <t>lm</t>
  </si>
  <si>
    <t>Lampara Sodio 150w</t>
  </si>
  <si>
    <t>Costos de instalacion</t>
  </si>
  <si>
    <t>Producto/servicio</t>
  </si>
  <si>
    <t>Precio unitario</t>
  </si>
  <si>
    <t>Cantidad</t>
  </si>
  <si>
    <t>Precio Total</t>
  </si>
  <si>
    <t>Instalacion tubos led</t>
  </si>
  <si>
    <t>Instalacion lampara sodio</t>
  </si>
  <si>
    <t>Valorizacion dólar</t>
  </si>
  <si>
    <t>Total USD</t>
  </si>
  <si>
    <t>DETERMINACION DE LAS CARGAS EXTERNAS</t>
  </si>
  <si>
    <t xml:space="preserve">Factor de calor por transmision </t>
  </si>
  <si>
    <t>Orientación</t>
  </si>
  <si>
    <t>Designación</t>
  </si>
  <si>
    <t>Descripción</t>
  </si>
  <si>
    <t>Dimensiones [m]</t>
  </si>
  <si>
    <t>Área [m2]</t>
  </si>
  <si>
    <t>K [kcal/(h.m2.°C)]</t>
  </si>
  <si>
    <r>
      <rPr>
        <b/>
        <sz val="12"/>
        <color theme="1"/>
        <rFont val="GreekC"/>
      </rPr>
      <t>Δ</t>
    </r>
    <r>
      <rPr>
        <b/>
        <sz val="12"/>
        <color theme="1"/>
        <rFont val="Calibri"/>
        <family val="2"/>
        <scheme val="minor"/>
      </rPr>
      <t>T (°C)</t>
    </r>
  </si>
  <si>
    <t>Q0 (Kcal/h)</t>
  </si>
  <si>
    <t>Q0 (Kcal/h) Total</t>
  </si>
  <si>
    <t>Oficina N°1</t>
  </si>
  <si>
    <t>S</t>
  </si>
  <si>
    <t>Puerta</t>
  </si>
  <si>
    <t>Ventana</t>
  </si>
  <si>
    <t>Exteriores Color claro</t>
  </si>
  <si>
    <t>-</t>
  </si>
  <si>
    <t>Techo</t>
  </si>
  <si>
    <t>De Losa</t>
  </si>
  <si>
    <t>Pared</t>
  </si>
  <si>
    <t>Exterior 0,3m</t>
  </si>
  <si>
    <t>O</t>
  </si>
  <si>
    <t>E</t>
  </si>
  <si>
    <t>Oficina Nº2</t>
  </si>
  <si>
    <t>Oficina Nº3</t>
  </si>
  <si>
    <t>Flujo de calor por efecto solar</t>
  </si>
  <si>
    <t>Intensidad</t>
  </si>
  <si>
    <t>Coef. C</t>
  </si>
  <si>
    <t>Qes</t>
  </si>
  <si>
    <t>Ventana exterior Color claro</t>
  </si>
  <si>
    <t>Oficina N°2</t>
  </si>
  <si>
    <t>Oficina N°3</t>
  </si>
  <si>
    <t>Total de Cargas externas</t>
  </si>
  <si>
    <t>Qext</t>
  </si>
  <si>
    <t>DETERMINACION DE LAS CARGAS INTERNAS</t>
  </si>
  <si>
    <t>Flujo de calor por efecto de las personas</t>
  </si>
  <si>
    <t>Cantidad Personas</t>
  </si>
  <si>
    <t>Q sensible</t>
  </si>
  <si>
    <t>Q latente</t>
  </si>
  <si>
    <t>Q personas (Kcal/h)</t>
  </si>
  <si>
    <t>Flujo de calor por efecto de la iluminacion</t>
  </si>
  <si>
    <t>Potencia (W)</t>
  </si>
  <si>
    <t>Potencia total (W)</t>
  </si>
  <si>
    <t>Q ilum (Kcal/h)</t>
  </si>
  <si>
    <t xml:space="preserve"> Led integrado 60w </t>
  </si>
  <si>
    <t>Flujo de calor por maquinarias</t>
  </si>
  <si>
    <t>Equipo</t>
  </si>
  <si>
    <t>Potencia unit. (W)</t>
  </si>
  <si>
    <t>Rendimiento</t>
  </si>
  <si>
    <t>Q Maq (Kcal/h)</t>
  </si>
  <si>
    <t>Q Maq Tot (Kcal/h)</t>
  </si>
  <si>
    <t>Computadoras</t>
  </si>
  <si>
    <t>Impresoras</t>
  </si>
  <si>
    <t>Impresora</t>
  </si>
  <si>
    <t>Dispenser de agua</t>
  </si>
  <si>
    <t>Total de cargas internas</t>
  </si>
  <si>
    <t>Q interna (Kcal/h)</t>
  </si>
  <si>
    <t>DETERMINACION DE LAS CARGAS DE AIRE EXTERIOR</t>
  </si>
  <si>
    <t>ZONA</t>
  </si>
  <si>
    <t>Caudal de aire en circulación</t>
  </si>
  <si>
    <t>Porcentaje de aire nuevo</t>
  </si>
  <si>
    <t>Caudal de aire nuevo</t>
  </si>
  <si>
    <t>Calor sensible del aire seco</t>
  </si>
  <si>
    <t xml:space="preserve">Calor latente del vapor de agua </t>
  </si>
  <si>
    <t>Calor total cargas del aire exterior</t>
  </si>
  <si>
    <t>C [m3/min]</t>
  </si>
  <si>
    <t>a [%]</t>
  </si>
  <si>
    <t>Ca [m3/min]</t>
  </si>
  <si>
    <t>Q sae [kcal/h]</t>
  </si>
  <si>
    <t>Q lva [kcal/h]</t>
  </si>
  <si>
    <t>Q tae [kcal/h]</t>
  </si>
  <si>
    <t>DETERMINACION DE FRIGORIAS</t>
  </si>
  <si>
    <t>Calor exterior</t>
  </si>
  <si>
    <t xml:space="preserve">Calor interior </t>
  </si>
  <si>
    <t>Calor Total</t>
  </si>
  <si>
    <t>Frigorías por hora requeridas</t>
  </si>
  <si>
    <t>Modelo</t>
  </si>
  <si>
    <t>Frigoria de dicho aire</t>
  </si>
  <si>
    <t>Q ext [kcal/h]</t>
  </si>
  <si>
    <t>Q int [kcal/h]</t>
  </si>
  <si>
    <t>Q tot [kcal/h]</t>
  </si>
  <si>
    <t xml:space="preserve">AS35WCCS </t>
  </si>
  <si>
    <t>HIS52WCO1</t>
  </si>
  <si>
    <t>HY8-6000FC</t>
  </si>
  <si>
    <t>DETERMINACION DE COSTOS</t>
  </si>
  <si>
    <t xml:space="preserve">Precio unitario </t>
  </si>
  <si>
    <t>Precio total</t>
  </si>
  <si>
    <t xml:space="preserve">Aire modelo AS35WCCS </t>
  </si>
  <si>
    <t>Aire modelo HIS52WCO1</t>
  </si>
  <si>
    <t>Aire modelo HY8-6000FC</t>
  </si>
  <si>
    <t>Instalacion de aire Hasta 3500</t>
  </si>
  <si>
    <t>Instalacion de aire Hasta 5500</t>
  </si>
  <si>
    <t>Carga de gas</t>
  </si>
  <si>
    <t>PODER CALORIFICO Y RIESGO POR MATERIAL</t>
  </si>
  <si>
    <t>Material</t>
  </si>
  <si>
    <t>Poder Calorífico
(Kcal/Kg)</t>
  </si>
  <si>
    <t>Riesgo</t>
  </si>
  <si>
    <t>Nivel de Riesgo</t>
  </si>
  <si>
    <t>Madera</t>
  </si>
  <si>
    <t>Muy Combustible</t>
  </si>
  <si>
    <t>Riesgo 3</t>
  </si>
  <si>
    <t>Papel</t>
  </si>
  <si>
    <t>Plástico</t>
  </si>
  <si>
    <t>Material ferroso</t>
  </si>
  <si>
    <t>Poco Combustible</t>
  </si>
  <si>
    <t>Riesgo 5</t>
  </si>
  <si>
    <t>Cartón</t>
  </si>
  <si>
    <t>Cables</t>
  </si>
  <si>
    <t>Combustible</t>
  </si>
  <si>
    <t>Riesgo 4</t>
  </si>
  <si>
    <t>DETERMINACION PODER CALORIFICO POR SECTOR</t>
  </si>
  <si>
    <t>S (m2)</t>
  </si>
  <si>
    <t>Item</t>
  </si>
  <si>
    <t xml:space="preserve">Material </t>
  </si>
  <si>
    <t>Cantidad [kg]</t>
  </si>
  <si>
    <t>Poder Calorfico [kcal/kg]</t>
  </si>
  <si>
    <t>Pc Subtotal [kcal]</t>
  </si>
  <si>
    <t>Pc zona [kcal]</t>
  </si>
  <si>
    <t>Depósito de materias primas</t>
  </si>
  <si>
    <t>Pallets</t>
  </si>
  <si>
    <t>Racks</t>
  </si>
  <si>
    <t>Separadores</t>
  </si>
  <si>
    <t>Films</t>
  </si>
  <si>
    <t>Cajas</t>
  </si>
  <si>
    <t>Pet</t>
  </si>
  <si>
    <t>Deposito producto terminado</t>
  </si>
  <si>
    <t xml:space="preserve">Vestuario </t>
  </si>
  <si>
    <t>Puertas</t>
  </si>
  <si>
    <t xml:space="preserve">Artefactos </t>
  </si>
  <si>
    <t>Equipos de fabricacion</t>
  </si>
  <si>
    <t>Mobilario</t>
  </si>
  <si>
    <t>Baño Hombres</t>
  </si>
  <si>
    <t>Articulos de impresión</t>
  </si>
  <si>
    <t>Articulos de oficina</t>
  </si>
  <si>
    <t>Mobiliario</t>
  </si>
  <si>
    <t>Equipos de cocina</t>
  </si>
  <si>
    <t>Insumos de cocina</t>
  </si>
  <si>
    <t>Maquinarias y herramientas</t>
  </si>
  <si>
    <t>CARGA DE FUEGO POR SECTOR</t>
  </si>
  <si>
    <t>Sector</t>
  </si>
  <si>
    <t>Pc sector [kcal]</t>
  </si>
  <si>
    <t>Carga de fuego</t>
  </si>
  <si>
    <t>Deposito Materia Pirma</t>
  </si>
  <si>
    <t>Vestuario - Produccion</t>
  </si>
  <si>
    <t>Recepcion - Baño hombres - Baño Mujeres</t>
  </si>
  <si>
    <t>Oficina N°1 - Oficina N°2 - Oficina N°3 - Comedor</t>
  </si>
  <si>
    <t>DETERMINACION PODER EXTINTOR</t>
  </si>
  <si>
    <t>Carga de Fuego</t>
  </si>
  <si>
    <t>Riesgo clase A</t>
  </si>
  <si>
    <t xml:space="preserve">Tabla 1 </t>
  </si>
  <si>
    <t>Riesgo Clase B</t>
  </si>
  <si>
    <t>Tabla 2</t>
  </si>
  <si>
    <t>Tabla 1</t>
  </si>
  <si>
    <t>A determinar</t>
  </si>
  <si>
    <t>Riesgo 1 Explosivo</t>
  </si>
  <si>
    <t>Riesgo 2 Inflamable</t>
  </si>
  <si>
    <t>Riesgo 3 Muy Combustible</t>
  </si>
  <si>
    <t>Riesgo 4 Combustible</t>
  </si>
  <si>
    <t>Riesgo 5 Poco combustible</t>
  </si>
  <si>
    <t>2A</t>
  </si>
  <si>
    <t>6B</t>
  </si>
  <si>
    <t>1A</t>
  </si>
  <si>
    <t>4B</t>
  </si>
  <si>
    <t>hasta 15 Kg/m2</t>
  </si>
  <si>
    <t>1 A</t>
  </si>
  <si>
    <t xml:space="preserve">1 A </t>
  </si>
  <si>
    <t>6 B</t>
  </si>
  <si>
    <t>4 B</t>
  </si>
  <si>
    <t>16 a 30 Kg/m2</t>
  </si>
  <si>
    <t>2 A</t>
  </si>
  <si>
    <t>8 B</t>
  </si>
  <si>
    <t>31 a 60 Kg/m2</t>
  </si>
  <si>
    <t>3 A</t>
  </si>
  <si>
    <t>10 B</t>
  </si>
  <si>
    <t>61 a 100 Kg/m2</t>
  </si>
  <si>
    <t>6 A</t>
  </si>
  <si>
    <t>4 A</t>
  </si>
  <si>
    <t>20 B</t>
  </si>
  <si>
    <t>&gt;100 Kg/m2</t>
  </si>
  <si>
    <t>A determinar en cada caso</t>
  </si>
  <si>
    <t>DETERMINACION CANTIDAD DE MATAFUEGOS</t>
  </si>
  <si>
    <t>CANTIDAD DE MATAFUEGOS</t>
  </si>
  <si>
    <t>Carga de Fuego (Kg/m2)</t>
  </si>
  <si>
    <t>Superficie              (m2)</t>
  </si>
  <si>
    <t>Cantidad de matafuegos Necesario</t>
  </si>
  <si>
    <t>Cantidad de matafuegos Instalados</t>
  </si>
  <si>
    <t>Poder de fuego necesario</t>
  </si>
  <si>
    <t>DURACION DE INCENDIO</t>
  </si>
  <si>
    <t>Tiempo que tarda el fuego en llegar a su punto maximo</t>
  </si>
  <si>
    <t>Carga de fuego (Kg/m ^2)</t>
  </si>
  <si>
    <t>Condicion</t>
  </si>
  <si>
    <t>Formula aplicar</t>
  </si>
  <si>
    <t>Tiempo Obtenido</t>
  </si>
  <si>
    <t>en HS</t>
  </si>
  <si>
    <t>en MIN</t>
  </si>
  <si>
    <t>Q &gt; 100 Kg/m^2</t>
  </si>
  <si>
    <t xml:space="preserve">D (hs.) = 0.03 * q </t>
  </si>
  <si>
    <t>Q ≤ 100 Kg/m^2</t>
  </si>
  <si>
    <t xml:space="preserve">D (hs.) = 0.02 * q </t>
  </si>
  <si>
    <t>RESISTENCIA AL FUEGO</t>
  </si>
  <si>
    <t>Riesgo mayor</t>
  </si>
  <si>
    <t>Resistencia al fuego</t>
  </si>
  <si>
    <t>NIVEL DE RIESGO</t>
  </si>
  <si>
    <t>F180</t>
  </si>
  <si>
    <t xml:space="preserve">CARGA DE FUEGO </t>
  </si>
  <si>
    <t>R1</t>
  </si>
  <si>
    <t>R2</t>
  </si>
  <si>
    <t>R3</t>
  </si>
  <si>
    <t>R4</t>
  </si>
  <si>
    <t>R5</t>
  </si>
  <si>
    <t>hasta 15 kg/m^2</t>
  </si>
  <si>
    <t>F60</t>
  </si>
  <si>
    <t>F30</t>
  </si>
  <si>
    <t>F90</t>
  </si>
  <si>
    <t>16 a 30  kg/m^2</t>
  </si>
  <si>
    <t>31 a 60  kg/m^2</t>
  </si>
  <si>
    <t>F120</t>
  </si>
  <si>
    <t>61 a 100  kg/m^2</t>
  </si>
  <si>
    <t>&gt; 100  kg/m^2</t>
  </si>
  <si>
    <t>CALCULO DE COSTOS</t>
  </si>
  <si>
    <t>Porducto/servicio</t>
  </si>
  <si>
    <t>Extinto ABC 5kg FADESA + chapa baliza + soporte</t>
  </si>
  <si>
    <t>Detector de humo SICA</t>
  </si>
  <si>
    <t>Gabinete para manguera + soporte GEORGIA</t>
  </si>
  <si>
    <t>Manguera Ryljet marca Georgia 25m + lanza + uniones</t>
  </si>
  <si>
    <t xml:space="preserve">Caño galvanizado 4" </t>
  </si>
  <si>
    <t>Codo galvanizado 4"</t>
  </si>
  <si>
    <t>Instalacion matafuego</t>
  </si>
  <si>
    <t>Instalacion sistema hidrante</t>
  </si>
  <si>
    <t xml:space="preserve">Instalacion de cañeria </t>
  </si>
  <si>
    <t>Valor dólar</t>
  </si>
  <si>
    <t>Zonas que requieren ventilacion</t>
  </si>
  <si>
    <t>Ventilación General</t>
  </si>
  <si>
    <t>Ventilación Localizada</t>
  </si>
  <si>
    <t>Deposito de materias primas</t>
  </si>
  <si>
    <t>x</t>
  </si>
  <si>
    <t>Deposito de producto terminado</t>
  </si>
  <si>
    <t>DETERMINACION VENTILACION GENERAL</t>
  </si>
  <si>
    <t>Ventilacion General</t>
  </si>
  <si>
    <t>Ancho (m)</t>
  </si>
  <si>
    <t>Largo (m)</t>
  </si>
  <si>
    <t>Altura Total (m)</t>
  </si>
  <si>
    <t>Volumen</t>
  </si>
  <si>
    <t>TOTAL</t>
  </si>
  <si>
    <t>Caudal total</t>
  </si>
  <si>
    <t>Caudal del extractor</t>
  </si>
  <si>
    <t>Cantidad de extractores</t>
  </si>
  <si>
    <t>DETERMINACION COSTOS</t>
  </si>
  <si>
    <t>Costos de la instalacion</t>
  </si>
  <si>
    <t>Costo Unitario</t>
  </si>
  <si>
    <t>Unidades</t>
  </si>
  <si>
    <t>Costo Total</t>
  </si>
  <si>
    <t>Ventilador Hongo</t>
  </si>
  <si>
    <t>Extractor Atma</t>
  </si>
  <si>
    <t>Instalacion de equipo</t>
  </si>
  <si>
    <t>Valor Dólar</t>
  </si>
  <si>
    <t>AREA DE SERVICIO</t>
  </si>
  <si>
    <t>N° DE ARTEFACTOS</t>
  </si>
  <si>
    <t>Baño Mujeres</t>
  </si>
  <si>
    <t>Cocina</t>
  </si>
  <si>
    <t>Accesorios</t>
  </si>
  <si>
    <t>Longitudes equivalentes</t>
  </si>
  <si>
    <t>Long. Equivalente Total</t>
  </si>
  <si>
    <t>Codo a 90°</t>
  </si>
  <si>
    <t>Válvula globo</t>
  </si>
  <si>
    <t>Conector T</t>
  </si>
  <si>
    <t>Costo de la instalacion</t>
  </si>
  <si>
    <t>Tanque de agua 25 mil litros</t>
  </si>
  <si>
    <t>Tanque de agua 10 mil litros</t>
  </si>
  <si>
    <t>Caño de agua fria</t>
  </si>
  <si>
    <t>Caño de agua caliente</t>
  </si>
  <si>
    <t>Bomba de agua 1Hp</t>
  </si>
  <si>
    <t>Termotanque industrial</t>
  </si>
  <si>
    <t>Mano de obra</t>
  </si>
  <si>
    <t>P adm</t>
  </si>
  <si>
    <t>Q unit [l/min]</t>
  </si>
  <si>
    <t>Q total [l/min]</t>
  </si>
  <si>
    <t>Cargador de tolva</t>
  </si>
  <si>
    <t>6 a 8 Bar</t>
  </si>
  <si>
    <t>Pistola para sopletear</t>
  </si>
  <si>
    <t>3.5 Bar /50Psi</t>
  </si>
  <si>
    <t>Tipo de accesorio</t>
  </si>
  <si>
    <t>longitud equivalente unitaria (m)</t>
  </si>
  <si>
    <t>Longitud equivalente total (m)</t>
  </si>
  <si>
    <t>Conexión "T"</t>
  </si>
  <si>
    <t>Válvula esfera</t>
  </si>
  <si>
    <t>Conexión curva 90°</t>
  </si>
  <si>
    <t>Conexión codo 90°</t>
  </si>
  <si>
    <t>Tramos rectos</t>
  </si>
  <si>
    <t>Materiales</t>
  </si>
  <si>
    <t>$/Unidad</t>
  </si>
  <si>
    <t>Tramos rectos 50 mm</t>
  </si>
  <si>
    <t>m</t>
  </si>
  <si>
    <t>Curvas 90° </t>
  </si>
  <si>
    <t>Tee</t>
  </si>
  <si>
    <t>Codos 90°</t>
  </si>
  <si>
    <t>Válvula Globo</t>
  </si>
  <si>
    <t>Valvula esferica</t>
  </si>
  <si>
    <t xml:space="preserve">Filtro / Regulador </t>
  </si>
  <si>
    <t>Pistolas Sopletes</t>
  </si>
  <si>
    <t>Tanque acumulador 5000L</t>
  </si>
  <si>
    <t>Compresor  25Hp</t>
  </si>
  <si>
    <t>TOTAL materiales</t>
  </si>
  <si>
    <t>Mano de obra instalación</t>
  </si>
  <si>
    <t>Personal</t>
  </si>
  <si>
    <t>Precio/hora</t>
  </si>
  <si>
    <t>Horas de trabajo</t>
  </si>
  <si>
    <t>Días de trabajo</t>
  </si>
  <si>
    <t>Instalador/empresa</t>
  </si>
  <si>
    <t>$40.000</t>
  </si>
  <si>
    <t>Total toda la instalacion</t>
  </si>
  <si>
    <t>Potencia (Kw)</t>
  </si>
  <si>
    <t>Factor de Potencia</t>
  </si>
  <si>
    <t>Tensión (V)</t>
  </si>
  <si>
    <t>Corriente (A)</t>
  </si>
  <si>
    <t>Potencia trifasica (kw)</t>
  </si>
  <si>
    <t>Potencial total Trifasica (Kw)</t>
  </si>
  <si>
    <t>Potencia Reactiva (KVAr)</t>
  </si>
  <si>
    <t>Potencia Aparente (KVA)</t>
  </si>
  <si>
    <t>Corriente Total (A)</t>
  </si>
  <si>
    <t>Mantenimiento</t>
  </si>
  <si>
    <t>Compresor</t>
  </si>
  <si>
    <t>Termotanque</t>
  </si>
  <si>
    <t>Soldadora</t>
  </si>
  <si>
    <t>Bomba de agua</t>
  </si>
  <si>
    <t>Producción - Deposito</t>
  </si>
  <si>
    <t>Inyectora</t>
  </si>
  <si>
    <t>Dosificador de masterbach</t>
  </si>
  <si>
    <t>Extractores de aire</t>
  </si>
  <si>
    <t>Heladera</t>
  </si>
  <si>
    <t xml:space="preserve">Microondas </t>
  </si>
  <si>
    <t>Aire Acondicionado</t>
  </si>
  <si>
    <t>Extractor de aire.</t>
  </si>
  <si>
    <t>Cafetera</t>
  </si>
  <si>
    <t>Oficinas</t>
  </si>
  <si>
    <t>Planta</t>
  </si>
  <si>
    <t>iluminación</t>
  </si>
  <si>
    <t>Uso general</t>
  </si>
  <si>
    <t>Factor de simultaneidad</t>
  </si>
  <si>
    <t>Factor de crecimiento</t>
  </si>
  <si>
    <t>Potencia proyectada</t>
  </si>
  <si>
    <t>Tomas de uso general doble</t>
  </si>
  <si>
    <t>Tomas de uso especifico</t>
  </si>
  <si>
    <t>Caja derivacion</t>
  </si>
  <si>
    <t>Tablero seccional 24 bocas</t>
  </si>
  <si>
    <t xml:space="preserve">Tablero metalico 54 bocas </t>
  </si>
  <si>
    <t>Cable 1,5 mm</t>
  </si>
  <si>
    <t>Metros</t>
  </si>
  <si>
    <t>En los cables, se consideran las fase, neutro y puesta a tierra.</t>
  </si>
  <si>
    <t>Cable 2,5 mm</t>
  </si>
  <si>
    <t>Cable 4 mm</t>
  </si>
  <si>
    <t>Cable 6 mm</t>
  </si>
  <si>
    <t>Cable 16mm</t>
  </si>
  <si>
    <t>Interruptor termomagnetico bipolar</t>
  </si>
  <si>
    <t>Interrupto termomagnetico tetrapolar</t>
  </si>
  <si>
    <t>Interruptor diferencia bipolar</t>
  </si>
  <si>
    <t>Interruptor diferencia Tetrapolar</t>
  </si>
  <si>
    <t>Caño electricidad 19mm</t>
  </si>
  <si>
    <t>Caño electricidad 22mm</t>
  </si>
  <si>
    <t>Bandeja porta cables</t>
  </si>
  <si>
    <t>Mteros</t>
  </si>
  <si>
    <t>Varios</t>
  </si>
  <si>
    <t>Localizacion del proyecto</t>
  </si>
  <si>
    <t>CABA</t>
  </si>
  <si>
    <t>Zona oeste</t>
  </si>
  <si>
    <t>Zona Sur</t>
  </si>
  <si>
    <t>Zona Norte</t>
  </si>
  <si>
    <t>Factores</t>
  </si>
  <si>
    <t>Ponderación</t>
  </si>
  <si>
    <t>Puntaje</t>
  </si>
  <si>
    <t>Distancia con proveedores</t>
  </si>
  <si>
    <t>Accesos</t>
  </si>
  <si>
    <t>Proximidad al mercado</t>
  </si>
  <si>
    <t>Servicios públicos</t>
  </si>
  <si>
    <t>Impuestos</t>
  </si>
  <si>
    <t>Alquiler</t>
  </si>
  <si>
    <t>Totales</t>
  </si>
  <si>
    <t>Distribucion arborea: Pallet Ecosphere</t>
  </si>
  <si>
    <t>Nivel 0</t>
  </si>
  <si>
    <t>Nivel 1</t>
  </si>
  <si>
    <t>Nivel 2</t>
  </si>
  <si>
    <t>Pallet armado</t>
  </si>
  <si>
    <t>Semi esferas plasticas</t>
  </si>
  <si>
    <t>Embalaje</t>
  </si>
  <si>
    <t>Pallet ARLOG normalizado</t>
  </si>
  <si>
    <t>Carton Rígido</t>
  </si>
  <si>
    <t>Esquineros carton</t>
  </si>
  <si>
    <t>Flejes plasticos</t>
  </si>
  <si>
    <t>Film Streech</t>
  </si>
  <si>
    <t>Estructura del Producto</t>
  </si>
  <si>
    <r>
      <t>REVISIÓN:</t>
    </r>
    <r>
      <rPr>
        <b/>
        <sz val="9"/>
        <color rgb="FF000000"/>
        <rFont val="Calibri"/>
        <family val="2"/>
      </rPr>
      <t xml:space="preserve"> 0</t>
    </r>
  </si>
  <si>
    <t>DEPARTAMENTO</t>
  </si>
  <si>
    <r>
      <t>Denominación:</t>
    </r>
    <r>
      <rPr>
        <b/>
        <sz val="9"/>
        <color rgb="FF000000"/>
        <rFont val="Calibri"/>
        <family val="2"/>
      </rPr>
      <t xml:space="preserve"> Pallet armado Eco-Sphere</t>
    </r>
  </si>
  <si>
    <t>CÓDIGO:</t>
  </si>
  <si>
    <r>
      <t>HOJA:</t>
    </r>
    <r>
      <rPr>
        <b/>
        <sz val="9"/>
        <color rgb="FF000000"/>
        <rFont val="Calibri"/>
        <family val="2"/>
      </rPr>
      <t xml:space="preserve"> 1</t>
    </r>
    <r>
      <rPr>
        <b/>
        <u/>
        <sz val="9"/>
        <color rgb="FF000000"/>
        <rFont val="Calibri"/>
        <family val="2"/>
      </rPr>
      <t xml:space="preserve"> </t>
    </r>
  </si>
  <si>
    <t>DE MANUFACTURA</t>
  </si>
  <si>
    <r>
      <t>DE:</t>
    </r>
    <r>
      <rPr>
        <b/>
        <sz val="9"/>
        <color rgb="FF000000"/>
        <rFont val="Calibri"/>
        <family val="2"/>
      </rPr>
      <t xml:space="preserve"> 1</t>
    </r>
    <r>
      <rPr>
        <b/>
        <u/>
        <sz val="9"/>
        <color rgb="FF000000"/>
        <rFont val="Calibri"/>
        <family val="2"/>
      </rPr>
      <t xml:space="preserve"> </t>
    </r>
  </si>
  <si>
    <t xml:space="preserve">    CÓDIGO</t>
  </si>
  <si>
    <t>CANT.</t>
  </si>
  <si>
    <t>UNIDAD</t>
  </si>
  <si>
    <t>NIVEL</t>
  </si>
  <si>
    <t>DENOMINACIÓN:</t>
  </si>
  <si>
    <t>F</t>
  </si>
  <si>
    <t>C</t>
  </si>
  <si>
    <t>OBS</t>
  </si>
  <si>
    <t>N °</t>
  </si>
  <si>
    <t>00-00001A-PA</t>
  </si>
  <si>
    <t>Semi esfera</t>
  </si>
  <si>
    <t>00-00002A-PA</t>
  </si>
  <si>
    <t>Pallet ARLOG</t>
  </si>
  <si>
    <t>00-00003A-PA</t>
  </si>
  <si>
    <t>Cartón Rigido</t>
  </si>
  <si>
    <t>00-00004A-PA</t>
  </si>
  <si>
    <t>Esquineros carton prensado</t>
  </si>
  <si>
    <t>00-00005A-PA</t>
  </si>
  <si>
    <t xml:space="preserve">Metros </t>
  </si>
  <si>
    <t>Fleje plástico</t>
  </si>
  <si>
    <t>00-00006A-PA</t>
  </si>
  <si>
    <t>Film streech</t>
  </si>
  <si>
    <t>REALIZÓ : Responsable departamento de manufactura.</t>
  </si>
  <si>
    <t>FECHA : 01/09/2024</t>
  </si>
  <si>
    <t>Unitario</t>
  </si>
  <si>
    <t>Pallet</t>
  </si>
  <si>
    <t>Sueldo operador</t>
  </si>
  <si>
    <t>Dias Laborales</t>
  </si>
  <si>
    <t>Metros cubico</t>
  </si>
  <si>
    <t>Sueldo supervisor</t>
  </si>
  <si>
    <t>Total turnos</t>
  </si>
  <si>
    <t>Volumen unitario</t>
  </si>
  <si>
    <t>Horas por turno</t>
  </si>
  <si>
    <t>Costo alquiler</t>
  </si>
  <si>
    <t>Pesos/metro cubico</t>
  </si>
  <si>
    <t>Total Horas</t>
  </si>
  <si>
    <t>Costos varios</t>
  </si>
  <si>
    <t>Incluye seguros, manejo del material, etc.</t>
  </si>
  <si>
    <t>N° maquinarias</t>
  </si>
  <si>
    <t>Costo total</t>
  </si>
  <si>
    <t>Pesos</t>
  </si>
  <si>
    <t>Capacidad de fabricacion</t>
  </si>
  <si>
    <t>Capacidad utilizada</t>
  </si>
  <si>
    <t>Turnos</t>
  </si>
  <si>
    <t>Maquinas</t>
  </si>
  <si>
    <t>Operador</t>
  </si>
  <si>
    <t>Supervisor</t>
  </si>
  <si>
    <t>Fabricacion</t>
  </si>
  <si>
    <t>Inventario</t>
  </si>
  <si>
    <t>Acumulado</t>
  </si>
  <si>
    <t>Costo de mantener</t>
  </si>
  <si>
    <t>Cantidad de pallets</t>
  </si>
  <si>
    <t>Esto nos representa la cantidad de sueldos anuales a pagar de cada uno</t>
  </si>
  <si>
    <t>Volumen a ocupar (M3)</t>
  </si>
  <si>
    <t>Costo almacenamiento</t>
  </si>
  <si>
    <t>Inversion en maquinaria</t>
  </si>
  <si>
    <t>Costo mantener</t>
  </si>
  <si>
    <t>Tiempos de Maquina</t>
  </si>
  <si>
    <t>Tarea</t>
  </si>
  <si>
    <t>Tiempo</t>
  </si>
  <si>
    <t>Tiempo Set up maquina</t>
  </si>
  <si>
    <t>Seg</t>
  </si>
  <si>
    <t>Tiempo Maquina neto</t>
  </si>
  <si>
    <t>Tiempo desmolde</t>
  </si>
  <si>
    <t>TIEMPO TOTAL</t>
  </si>
  <si>
    <t xml:space="preserve">Segundos </t>
  </si>
  <si>
    <t>Por medio alivianador</t>
  </si>
  <si>
    <t>Total medio alivianadores/hora</t>
  </si>
  <si>
    <t>Total alivianadores/hora</t>
  </si>
  <si>
    <t>Tiempo efectivo 1 turno</t>
  </si>
  <si>
    <t>HS</t>
  </si>
  <si>
    <t>Tiempo efectivo 1,5 turnos</t>
  </si>
  <si>
    <t>Tiempo efectivo 2 turnos</t>
  </si>
  <si>
    <t>Total dias año habiles</t>
  </si>
  <si>
    <t>dias</t>
  </si>
  <si>
    <t>Promedio entre dias habiles entre lunes y viernes y presencia en empresa</t>
  </si>
  <si>
    <t>Total unidades año 1 turno</t>
  </si>
  <si>
    <t>Total unidades año 1,5 turno</t>
  </si>
  <si>
    <t>Total unidades año 2 turno</t>
  </si>
  <si>
    <t>Empleados</t>
  </si>
  <si>
    <t>Sector productivo</t>
  </si>
  <si>
    <t>Sector No productivo</t>
  </si>
  <si>
    <t>Operador logis.</t>
  </si>
  <si>
    <t>Administrativos</t>
  </si>
  <si>
    <t>Peso de  alivianador</t>
  </si>
  <si>
    <t>Pet reciclado</t>
  </si>
  <si>
    <t>PET virgen</t>
  </si>
  <si>
    <t>Masterbatch</t>
  </si>
  <si>
    <t xml:space="preserve">Total alivianadores por pallet </t>
  </si>
  <si>
    <t>Sector inyeccion</t>
  </si>
  <si>
    <t>Materia prima</t>
  </si>
  <si>
    <t>Cantidad neta</t>
  </si>
  <si>
    <t>Merma</t>
  </si>
  <si>
    <t>Cantidad necesaria</t>
  </si>
  <si>
    <t>Componente monetario</t>
  </si>
  <si>
    <t>Totales ($)</t>
  </si>
  <si>
    <t>Totales (Usd)</t>
  </si>
  <si>
    <t>PET reciclado</t>
  </si>
  <si>
    <t>Costo total materia prima inyección</t>
  </si>
  <si>
    <t>Sector de embalaje</t>
  </si>
  <si>
    <t>Pallet normalizado 1.20 x 1.0 Mts</t>
  </si>
  <si>
    <t>Carton Rigido 1.20 x 1.10 Mts</t>
  </si>
  <si>
    <t xml:space="preserve">Film Streech </t>
  </si>
  <si>
    <t>$/Mts</t>
  </si>
  <si>
    <t xml:space="preserve">Fleje plastico </t>
  </si>
  <si>
    <t>$/ Mts</t>
  </si>
  <si>
    <t>Esquinero de carton</t>
  </si>
  <si>
    <t>Costo total materia prima embalaje</t>
  </si>
  <si>
    <t>Costo total materia prima por unidad</t>
  </si>
  <si>
    <t>unidad</t>
  </si>
  <si>
    <t>Valor monetario</t>
  </si>
  <si>
    <t xml:space="preserve">Modulo </t>
  </si>
  <si>
    <t xml:space="preserve">En un pallet entran 250 esferas , 12 columnas x 42 unidades. </t>
  </si>
  <si>
    <t>Carton Rigido</t>
  </si>
  <si>
    <t>Placa de 1,2 mts x 1mts, para colocar en la parte superior del pallet</t>
  </si>
  <si>
    <t>metros</t>
  </si>
  <si>
    <t xml:space="preserve"> Se van a poner 5 franjas de 0,5mts para cubrir todo el contorno</t>
  </si>
  <si>
    <t>Fleje plastico</t>
  </si>
  <si>
    <t>Se van a colocar 2 franjas plasticas para dar rigidez al pallet</t>
  </si>
  <si>
    <t>Esquineros</t>
  </si>
  <si>
    <t>Se colocan por pallet 4 esquineros de 1,2 metros de largo</t>
  </si>
  <si>
    <t>Costo unitario (usd)</t>
  </si>
  <si>
    <t>Monto anual (usd)</t>
  </si>
  <si>
    <t>A continuacion se agregran los link de donde se obtuvieron los precios detallados anteriormente</t>
  </si>
  <si>
    <t>https://articulo.mercadolibre.com.ar/MLA-934905273-masterbach-_JM#position=4&amp;search_layout=stack&amp;type=item&amp;tracking_id=cb7a127b-04d0-49da-844e-aafbd2348b3e</t>
  </si>
  <si>
    <t>https://articulo.mercadolibre.com.ar/MLA-1772069278-pallet-tipo-arlog-hasta-1000kg-_JM#polycard_client=search-nordic&amp;position=1&amp;search_layout=grid&amp;type=item&amp;tracking_id=fcc85f51-2022-4d2c-97d5-758d2cd7afdb</t>
  </si>
  <si>
    <t>https://articulo.mercadolibre.com.ar/MLA-879865977-plancha-carton-corrugado-120x100cm-pack-10-unidades-_JM</t>
  </si>
  <si>
    <t>https://articulo.mercadolibre.com.ar/MLA-1301650927-film-stretch-cristal-50cm-con-mango-virgen-dw-_JM?variation=#reco_item_pos=1&amp;reco_backend=ranker-retrieval-v2p&amp;reco_backend_type=low_level&amp;reco_client=vip-v2p&amp;reco_id=63c98903-4d99-436d-85cd-e070c95de555</t>
  </si>
  <si>
    <t>https://articulo.mercadolibre.com.ar/MLA-757924599-fleje-plastico-polipropileno-zuncho-13-16-o-19mm-_JM</t>
  </si>
  <si>
    <t>https://articulo.mercadolibre.com.ar/MLA-837643816-esquineros-carton-corrugado-mudanza-pallets-120mtx20cm-x25-_JM?searchVariation=50201358390#polycard_client=search-nordic&amp;searchVariation=50201358390&amp;position=3&amp;search_layout=grid&amp;type=item&amp;tracking_id=137924c5-e657-427a-97d5-aa0ea6bc6824</t>
  </si>
  <si>
    <t>DATOS</t>
  </si>
  <si>
    <t>COMO SACAR VALOR DE HORA PROMEDIO POR OPERARIO</t>
  </si>
  <si>
    <t>Lunes a viernes</t>
  </si>
  <si>
    <r>
      <t xml:space="preserve">a) Suma de los sueldos </t>
    </r>
    <r>
      <rPr>
        <u/>
        <sz val="11"/>
        <color theme="1"/>
        <rFont val="Calibri"/>
        <family val="2"/>
        <scheme val="minor"/>
      </rPr>
      <t>brutos</t>
    </r>
    <r>
      <rPr>
        <sz val="11"/>
        <color theme="1"/>
        <rFont val="Calibri"/>
        <family val="2"/>
        <scheme val="minor"/>
      </rPr>
      <t xml:space="preserve"> MOD (sin SAC)</t>
    </r>
  </si>
  <si>
    <t>(Los que no tienen descuentos)</t>
  </si>
  <si>
    <t>Jornada laboral</t>
  </si>
  <si>
    <t>Horas diarias</t>
  </si>
  <si>
    <t>(b) Horas anuales por convenio colectivo de trabajo por operario MOD</t>
  </si>
  <si>
    <t>Turno diario</t>
  </si>
  <si>
    <t>(c) Totalidad de operarios MOD</t>
  </si>
  <si>
    <t>Tiempos no productivos previstos</t>
  </si>
  <si>
    <t>Hora diaria</t>
  </si>
  <si>
    <t xml:space="preserve"> 40 minutos de almuerzo, 10 minutos a la entrada y 10 minutos a la salida</t>
  </si>
  <si>
    <t>Licencia Anual Ordinaria (vacaciones)</t>
  </si>
  <si>
    <t>Dias Habiles</t>
  </si>
  <si>
    <t>Licencia por enfermedad</t>
  </si>
  <si>
    <t>Feriados promedio (lunes a viernes)</t>
  </si>
  <si>
    <t>Licencias especiales</t>
  </si>
  <si>
    <t>Sueldo Anual Complementario (SAC)</t>
  </si>
  <si>
    <t>Contribuciones Legales</t>
  </si>
  <si>
    <t xml:space="preserve"> </t>
  </si>
  <si>
    <t>Ropa de Trabajo y gastos de comedor</t>
  </si>
  <si>
    <t>Valor hora operador</t>
  </si>
  <si>
    <t xml:space="preserve">$/hora por operador </t>
  </si>
  <si>
    <t>Valor hora operador calificado</t>
  </si>
  <si>
    <t>$/hora por operador cal</t>
  </si>
  <si>
    <t>Según el convenio colectivo de trabajo</t>
  </si>
  <si>
    <t>Valor jornada de un operario calificado</t>
  </si>
  <si>
    <t>PRESENCIA EN LA EMPRESA</t>
  </si>
  <si>
    <t>Días del año</t>
  </si>
  <si>
    <t>Dias</t>
  </si>
  <si>
    <t>Sábados y domingos del año</t>
  </si>
  <si>
    <t>(-)</t>
  </si>
  <si>
    <t>Ausencias pagas</t>
  </si>
  <si>
    <t>Presencia en empresa</t>
  </si>
  <si>
    <t>Tiempo productivo Anual</t>
  </si>
  <si>
    <t>Horas</t>
  </si>
  <si>
    <t>AUSENCIA EN LA EMPRESA</t>
  </si>
  <si>
    <t>Descanso Diario</t>
  </si>
  <si>
    <t>Tiempo no productivo anual</t>
  </si>
  <si>
    <t>Tiempo anual de ausencia pagas</t>
  </si>
  <si>
    <t>Total Ausencia o tiempo no productivo pago</t>
  </si>
  <si>
    <t>% ausencias pagas</t>
  </si>
  <si>
    <t>MATRIZ DE MOD</t>
  </si>
  <si>
    <t>Básico</t>
  </si>
  <si>
    <t>S.A.C.</t>
  </si>
  <si>
    <t>Sub-total</t>
  </si>
  <si>
    <t>Contr.Leg.</t>
  </si>
  <si>
    <t>Total (A)</t>
  </si>
  <si>
    <t>Total (B)</t>
  </si>
  <si>
    <t>(Total (A) * Total (B))/100</t>
  </si>
  <si>
    <t>Ropa de trabajo y gastos comerciales</t>
  </si>
  <si>
    <t xml:space="preserve"> MATRIZ MOD</t>
  </si>
  <si>
    <t>Valor hora bruto</t>
  </si>
  <si>
    <t>Matriz MOD</t>
  </si>
  <si>
    <t>Costo Hora MOD</t>
  </si>
  <si>
    <t>Costo hora MOD (USD)</t>
  </si>
  <si>
    <t>COSTO MOD</t>
  </si>
  <si>
    <t>Componente fisico</t>
  </si>
  <si>
    <t>Componente monetario (USD)</t>
  </si>
  <si>
    <t>Costo Unitario MOD (USD)</t>
  </si>
  <si>
    <t>Costo MOD/unidad</t>
  </si>
  <si>
    <t>Costo Unitario MOD anual</t>
  </si>
  <si>
    <t>MOD directa</t>
  </si>
  <si>
    <t xml:space="preserve">Sueldos </t>
  </si>
  <si>
    <t>Valor mensual ($)</t>
  </si>
  <si>
    <t>Total mes ($)</t>
  </si>
  <si>
    <t>Total anual ($)</t>
  </si>
  <si>
    <t>Total anual (USD)</t>
  </si>
  <si>
    <t xml:space="preserve">Operador especializado </t>
  </si>
  <si>
    <t>Proyeccion de costos de M.O.D. anualizado</t>
  </si>
  <si>
    <t>Costo Anual MOD (USD)</t>
  </si>
  <si>
    <t>Costo Total MOD anual (USD)</t>
  </si>
  <si>
    <t>Costo Total MOD mensual (USD)</t>
  </si>
  <si>
    <t>COSTOS COMUNES DE PRODUCCION</t>
  </si>
  <si>
    <t>Costo Mensual</t>
  </si>
  <si>
    <t>Costo anual</t>
  </si>
  <si>
    <t>Consumo Energía eléctrica (Produccion)</t>
  </si>
  <si>
    <t xml:space="preserve">Limpieza </t>
  </si>
  <si>
    <t>Sueldo personal logistico</t>
  </si>
  <si>
    <t xml:space="preserve">Sueldos supervisores de producción </t>
  </si>
  <si>
    <t>Unidaes</t>
  </si>
  <si>
    <t>Tasa CCP (USD)</t>
  </si>
  <si>
    <t>ítem</t>
  </si>
  <si>
    <t>Proyeccion de costos de supervisores</t>
  </si>
  <si>
    <t>Costo mensual unitario ($)</t>
  </si>
  <si>
    <t>Costo mensual (USD)</t>
  </si>
  <si>
    <t>Costo mensual  Total(USD)</t>
  </si>
  <si>
    <t>Proyeccion de costos personal logistico</t>
  </si>
  <si>
    <t>Proyeccion de costos personal limpieza</t>
  </si>
  <si>
    <t>Cantidad Horas mensuales</t>
  </si>
  <si>
    <t>Costo hora ($)</t>
  </si>
  <si>
    <t>Costo mensual ($)</t>
  </si>
  <si>
    <t>Proyeccion de costos de electricidad</t>
  </si>
  <si>
    <t>Consumo Kw mensual</t>
  </si>
  <si>
    <t>Costo Kw ($)</t>
  </si>
  <si>
    <t>Proyeccion de costos de mantenimiento</t>
  </si>
  <si>
    <t>Costo inyectora por turno mensual ($)</t>
  </si>
  <si>
    <t>Total maquinas</t>
  </si>
  <si>
    <t>Total Turnos</t>
  </si>
  <si>
    <t>Costo mensual  Total ($)</t>
  </si>
  <si>
    <t>Costeo por absorción (USD)</t>
  </si>
  <si>
    <t>Costo por absorción (USD)</t>
  </si>
  <si>
    <t>Costo MP</t>
  </si>
  <si>
    <t>Costo MOD</t>
  </si>
  <si>
    <t>Costo CCP</t>
  </si>
  <si>
    <t>Costo por absorcion</t>
  </si>
  <si>
    <t xml:space="preserve">Listado de precios </t>
  </si>
  <si>
    <t>Equipos</t>
  </si>
  <si>
    <t>Marca</t>
  </si>
  <si>
    <t xml:space="preserve">Costo Unitario ($) </t>
  </si>
  <si>
    <t>2024 (USD)</t>
  </si>
  <si>
    <t>2025 (USD)</t>
  </si>
  <si>
    <t>2026 (USD)</t>
  </si>
  <si>
    <t>2027 (USD)</t>
  </si>
  <si>
    <t>2028 (USD)</t>
  </si>
  <si>
    <t>Inyectora de plastico</t>
  </si>
  <si>
    <t>Haida</t>
  </si>
  <si>
    <t>HDX388</t>
  </si>
  <si>
    <t>Matriz Alivianadores</t>
  </si>
  <si>
    <t>Lifty2</t>
  </si>
  <si>
    <t>Mix S Plus</t>
  </si>
  <si>
    <t>Dosificador de masterbatch</t>
  </si>
  <si>
    <t>Masterpro</t>
  </si>
  <si>
    <t>MP-50</t>
  </si>
  <si>
    <t>Carro envolvedor manual</t>
  </si>
  <si>
    <t>DG</t>
  </si>
  <si>
    <t>Mesa de trabajo</t>
  </si>
  <si>
    <t>Storag</t>
  </si>
  <si>
    <t>Fbia38401</t>
  </si>
  <si>
    <t>Mesa carro porta herramientas</t>
  </si>
  <si>
    <t>Lusqtoff</t>
  </si>
  <si>
    <t>TC-1350</t>
  </si>
  <si>
    <t>Kit de destornilladores</t>
  </si>
  <si>
    <t>Denver</t>
  </si>
  <si>
    <t>DVP145</t>
  </si>
  <si>
    <t>Kit de llaves combinadas</t>
  </si>
  <si>
    <t xml:space="preserve">Trueno </t>
  </si>
  <si>
    <t xml:space="preserve">Kit de llaves tubos </t>
  </si>
  <si>
    <t>Irimo</t>
  </si>
  <si>
    <t>Caja Kit by Bahco</t>
  </si>
  <si>
    <t>Taladro - atornillador</t>
  </si>
  <si>
    <t>Daewo</t>
  </si>
  <si>
    <t>DACD1800V </t>
  </si>
  <si>
    <t>Amoladora</t>
  </si>
  <si>
    <t>Black+Decker</t>
  </si>
  <si>
    <t>G720N</t>
  </si>
  <si>
    <t>Gamma</t>
  </si>
  <si>
    <t>250a</t>
  </si>
  <si>
    <t>Set de herramientas</t>
  </si>
  <si>
    <t>Flejeadora para embalado</t>
  </si>
  <si>
    <t>DW</t>
  </si>
  <si>
    <t>Calibre digital</t>
  </si>
  <si>
    <t>crossmaster</t>
  </si>
  <si>
    <t xml:space="preserve">Racks </t>
  </si>
  <si>
    <t>Mecalux/Sotic</t>
  </si>
  <si>
    <t>(240cm ancho x 100cm profundidad x 400cm alto)</t>
  </si>
  <si>
    <t xml:space="preserve">Apilador retractil </t>
  </si>
  <si>
    <t>Armario metalico</t>
  </si>
  <si>
    <t>Escritorio oficina</t>
  </si>
  <si>
    <t>Mesa de comedor</t>
  </si>
  <si>
    <t>Silla de comedor</t>
  </si>
  <si>
    <t>Equipamiento comedor planta</t>
  </si>
  <si>
    <t>Para 6 personas</t>
  </si>
  <si>
    <t>Sillas de escritorio</t>
  </si>
  <si>
    <t>Darwin</t>
  </si>
  <si>
    <t>Sillas recepcion</t>
  </si>
  <si>
    <t xml:space="preserve">Portantino </t>
  </si>
  <si>
    <t>Fly 45</t>
  </si>
  <si>
    <t>Sillon recepcion</t>
  </si>
  <si>
    <t>Arcos dorados doble</t>
  </si>
  <si>
    <t xml:space="preserve">Notebook </t>
  </si>
  <si>
    <t xml:space="preserve">Lenovo </t>
  </si>
  <si>
    <t>Ideapad intel i3</t>
  </si>
  <si>
    <t xml:space="preserve">Impresora </t>
  </si>
  <si>
    <t xml:space="preserve">Hp </t>
  </si>
  <si>
    <t>4ZB78A</t>
  </si>
  <si>
    <t>Librero oficinas</t>
  </si>
  <si>
    <t>Tisera</t>
  </si>
  <si>
    <t>Elementos de oficina (informatica)</t>
  </si>
  <si>
    <t>Elementos de oficina (Librería)</t>
  </si>
  <si>
    <t>Gafa</t>
  </si>
  <si>
    <t>HGF358 </t>
  </si>
  <si>
    <t>Smart tv</t>
  </si>
  <si>
    <t>Philips</t>
  </si>
  <si>
    <t>6900 series</t>
  </si>
  <si>
    <t>Horno Electrico</t>
  </si>
  <si>
    <t>Goldstar</t>
  </si>
  <si>
    <t> Gldh85</t>
  </si>
  <si>
    <t>Microondas</t>
  </si>
  <si>
    <t>BGH </t>
  </si>
  <si>
    <t>B228DB9</t>
  </si>
  <si>
    <t>Frimax</t>
  </si>
  <si>
    <t>Premium electro</t>
  </si>
  <si>
    <t xml:space="preserve">Guardarropa metalico </t>
  </si>
  <si>
    <t>Inversion año 2024</t>
  </si>
  <si>
    <t>Maquinaria - Equipamiento Sector Productivo</t>
  </si>
  <si>
    <t>Costo Total (USD)</t>
  </si>
  <si>
    <t>Logistico</t>
  </si>
  <si>
    <t>Equipamiento Sector no productivo</t>
  </si>
  <si>
    <t>Instalaciones</t>
  </si>
  <si>
    <t>Tipo de instalacion</t>
  </si>
  <si>
    <t>Iluminacion</t>
  </si>
  <si>
    <t>Refrigeracion</t>
  </si>
  <si>
    <t>Incendio</t>
  </si>
  <si>
    <t>Ventilacion</t>
  </si>
  <si>
    <t>Agua</t>
  </si>
  <si>
    <t>Aire</t>
  </si>
  <si>
    <t>Potencia</t>
  </si>
  <si>
    <t>Total Instalaciones</t>
  </si>
  <si>
    <t>Total Inversion 2024</t>
  </si>
  <si>
    <t>Inversion año 2025</t>
  </si>
  <si>
    <t>No se realizaran inversiones durante dicho periodo en curso</t>
  </si>
  <si>
    <t>Inversion año 2026</t>
  </si>
  <si>
    <t>Aida</t>
  </si>
  <si>
    <t>Total Inversion 2026</t>
  </si>
  <si>
    <t>Inversion año 2027</t>
  </si>
  <si>
    <t>Inversion año 2028</t>
  </si>
  <si>
    <t>Mitutoyo</t>
  </si>
  <si>
    <t>530-14</t>
  </si>
  <si>
    <t>Total Inversion 2028</t>
  </si>
  <si>
    <t>Inversiones periodo 2024-2028</t>
  </si>
  <si>
    <t>Monto</t>
  </si>
  <si>
    <t>A continuacion, se incluyen las referencias de precios de cada uno de los equipos incluidos en el presupuesto de inversion:</t>
  </si>
  <si>
    <t>Se le solicito presupuesto al proveedor - https://articulo.mercadolibre.com.ar/MLA-935709461-inyectora-de-plastico-300-toneladas-servo-sunbun-_JM?variation=#reco_item_pos=0&amp;reco_backend=same-seller-odin&amp;reco_backend_type=low_level&amp;reco_client=vip-seller_items-above&amp;reco_id=e713c5c0-5a45-4012-91b3-a114ac88dc8d&amp;reco_model=machinalis-sellers-baseline</t>
  </si>
  <si>
    <t>https://articulo.mercadolibre.com.ar/MLA-791487915-molde-de-inyeccion-matriz-cucharitas-nueva-oportunidad-_JM#position=1&amp;search_layout=stack&amp;type=item&amp;tracking_id=2c534891-4044-4f8c-9a8d-9390c9afeae3</t>
  </si>
  <si>
    <t>Se le solicito presupuesto al proveedor</t>
  </si>
  <si>
    <t>https://articulo.mercadolibre.com.ar/MLA-1147237502-envolvedora-manual-movil-t-55mv-_JM#position=3&amp;search_layout=stack&amp;type=item&amp;tracking_id=0de4eb4d-3510-4395-86a5-331682f51f9f</t>
  </si>
  <si>
    <t>https://articulo.mercadolibre.com.ar/MLA-816649518-flejadora-manual-sunchadora-fleje-suncho-plastico-dw-oferta-_JM#position=3&amp;search_layout=stack&amp;type=item&amp;tracking_id=3d82cf5e-a897-4dcb-9d20-4d26923c4a4e</t>
  </si>
  <si>
    <t>Crossmaster</t>
  </si>
  <si>
    <t>https://www.mercadolibre.com.ar/calibre-digital-de-medicion-crossmaster-9936518-fibra-de-carbono/p/MLA23787981#polycard_client=search-nordic&amp;searchVariation=MLA23787981&amp;position=1&amp;search_layout=grid&amp;type=product&amp;tracking_id=4e177c0a-10b9-478b-a4b2-9d074e3f2e8f&amp;wid=MLA1814222090&amp;sid=search</t>
  </si>
  <si>
    <t>https://estanteriasvirreyes.com.ar/producto/rack-metalico-pesado-400x720x100-con-niveles-para-2-500-kg/?srsltid=AfmBOor1fiI-yV2MUaQ6hfIZFyvD7NmBKXAzCAkt_Q3p-1x6twXJmEXejI0</t>
  </si>
  <si>
    <t>https://www.mercadolibre.com.ar/heladera-gafa-hgf358-blanca-con-freezer-282l-220v/p/MLA19710493?pdp_filters=category:MLA398582#searchVariation=MLA19710493&amp;position=1&amp;search_layout=stack&amp;type=product&amp;tracking_id=6296c886-72b8-4a3a-b9c1-6bb965d5496b</t>
  </si>
  <si>
    <t>https://www.mercadolibre.com.ar/smart-tv-philips-6900-series-43pfd691777-led-android-10-full-hd-43-110v240v/p/MLA19465098?pdp_filters=category:MLA1002#searchVariation=MLA19465098&amp;position=1&amp;search_layout=stack&amp;type=product&amp;tracking_id=4a3385db-b475-4e36-b8e9-40e411d4bc14</t>
  </si>
  <si>
    <t>https://listado.mercadolibre.com.ar/horno-electrico-goldstar-gldh85#D[A:Horno%20Electrico%20Goldstar%20%C2%A0Gldh85]</t>
  </si>
  <si>
    <t>https://articulo.mercadolibre.com.ar/MLA-1437545393-microondas-grill-bgh-quick-chef-b228db9-blanco-28l-220v-_JM#polycard_client=search-nordic&amp;position=3&amp;search_layout=grid&amp;type=item&amp;tracking_id=6d75354e-22a6-4f0b-86e1-87ad1bed8b62</t>
  </si>
  <si>
    <t>https://articulo.mercadolibre.com.ar/MLA-1928209506-notebook-lenovo-core-i3-1215u-8gb-ram-256gb-ssd-touch-win-11-_JM?searchVariation=181839453400#polycard_client=search-nordic&amp;searchVariation=181839453400&amp;position=16&amp;search_layout=stack&amp;type=item&amp;tracking_id=1ce436d6-911f-4948-accb-09588c8a02db</t>
  </si>
  <si>
    <t>https://articulo.mercadolibre.com.ar/MLA-880296054-banco-mesa-de-trabajo-storage-compat-250x80x85hcm-fbia38401-_JM#position=29&amp;search_layout=stack&amp;type=item&amp;tracking_id=17d68318-c6bc-4833-a8fd-8e693a7cb6ff</t>
  </si>
  <si>
    <t>https://articulo.mercadolibre.com.ar/MLA-1128156707-juego-kit-set-destornillador-precision-denver-145-piezas-cel-_JM#is_advertising=true&amp;position=2&amp;search_layout=stack&amp;type=pad&amp;tracking_id=6e5d5356-e862-40a2-809d-f6f23d5300a9&amp;is_advertising=true&amp;ad_domain=VQCATCORE_LST&amp;ad_position=2&amp;ad_click_id=ZTRmMzYwNzctYzI2YS00ZmU1LTk4ZTktYjMwNzVhMzYyNDNm</t>
  </si>
  <si>
    <t>https://articulo.mercadolibre.com.ar/MLA-1100372207-set-juego-llaves-tubo-irimo-de-bahco-caja-101-piezas-12-14-_JM#is_advertising=true&amp;position=12&amp;search_layout=grid&amp;type=pad&amp;tracking_id=ebeba3f6-edf6-4e45-9c95-f3069847d8b4&amp;is_advertising=true&amp;ad_domain=VQCATCORE_LST&amp;ad_position=12&amp;ad_click_id=ZTc2OTdlYzktYmNlZi00YjQ5LWE5YzYtNDJkYTgxZjRjMmFk</t>
  </si>
  <si>
    <t>https://articulo.mercadolibre.com.ar/MLA-1380905597-juego-set-kit-llaves-combinadas-x-12-pcs-8-a-24-_JM#is_advertising=true&amp;position=2&amp;search_layout=stack&amp;type=pad&amp;tracking_id=d5b26f95-4ab5-47d6-a824-cdfab7b17a61&amp;is_advertising=true&amp;ad_domain=VQCATCORE_LST&amp;ad_position=2&amp;ad_click_id=MDQwNmQzOTktY2QwYi00MWM4LWIwMWUtNWJiMmFiYmQ0ZDgw</t>
  </si>
  <si>
    <t>https://articulo.mercadolibre.com.ar/MLA-872275514-taladro-atornillador-percutor-lusqtoff-18v-inalambrico-2-bat-_JM#is_advertising=true&amp;position=2&amp;search_layout=grid&amp;type=pad&amp;tracking_id=eb46b42b-213f-4381-9fbb-40354ba0abe8&amp;is_advertising=true&amp;ad_domain=VQCATCORE_LST&amp;ad_position=2&amp;ad_click_id=NWMxY2MyYWYtMjFiYy00NDhkLWIzOGYtYWMxOTIwNDg3Mjkw</t>
  </si>
  <si>
    <t>https://www.mercadolibre.com.ar/amoladora-angular-115mm-820w-black-decker-g720n-color-naranja/p/MLA6067073/s?_csrf=801YJWnm-CHO6-BoRwgg5sKzUMBBoyQultvg&amp;mode=page&amp;context=vip&amp;parent_url=%2Fp%2FMLA6067073</t>
  </si>
  <si>
    <t>https://articulo.mercadolibre.com.ar/MLA-840423064-set-de-herramientas-caja-140-piezas-maletin-kit-completo-129-_JM#position=55&amp;search_layout=stack&amp;type=item&amp;tracking_id=4cf1e70f-08d0-49b9-914a-f87776d02fd6</t>
  </si>
  <si>
    <t>https://www.mercadolibre.com.ar/soldadora-inverter-gamma-250a-arc250-electrodos-h-5-mm-color-celeste-frecuencia-50-hz/p/MLA26051322?pdp_filters=item_id:MLA1383534577#is_advertising=true&amp;searchVariation=MLA26051322&amp;position=2&amp;search_layout=stack&amp;type=pad&amp;tracking_id=1cb6e3ca-4209-4229-8113-b9154b7643e9&amp;is_advertising=true&amp;ad_domain=VQCATCORE_LST&amp;ad_position=2&amp;ad_click_id=MGIyYmI2MzAtNmMzZS00MDc1LWI5NzItYzViMDJhYWEzNzg0</t>
  </si>
  <si>
    <t>https://articulo.mercadolibre.com.ar/MLA-813143293-guardarropa-metalico-4-puertas-largas-locker-vestuario-nuevo-_JM#is_advertising=true&amp;position=2&amp;search_layout=stack&amp;type=pad&amp;tracking_id=9e5dfb84-16f1-4e35-92bd-738756b72e0e&amp;is_advertising=true&amp;ad_domain=VQCATCORE_LST&amp;ad_position=2&amp;ad_click_id=NTIzODlkMWUtNTc3Zi00NjRiLWFlNzQtZDYzM2M1NWE2MTA1</t>
  </si>
  <si>
    <t>https://www.mercadolibre.com.ar/silla-de-escritorio-desillas-darwin-ergonomica-negra-con-tapizado-de-mesh/p/MLA16113646?pdp_filters=item_id:MLA915989789#is_advertising=true&amp;searchVariation=MLA16113646&amp;position=1&amp;search_layout=grid&amp;type=pad&amp;tracking_id=e23d5db9-af1e-4d34-b7db-895d3a65a455&amp;is_advertising=true&amp;ad_domain=VQCATCORE_LST&amp;ad_position=1&amp;ad_click_id=MDFmNTU2NzQtMjhjNC00MGZlLWI5YTgtNzFlNWVkMWZjNjAx</t>
  </si>
  <si>
    <t>https://articulo.mercadolibre.com.ar/MLA-1213213798-mesa-carro-lusqtoff-porta-herramientas-3-estantes-con-ruedas-_JM#is_advertising=true&amp;position=1&amp;search_layout=stack&amp;type=pad&amp;tracking_id=8ef2dc35-3b40-43a6-867a-06eab8b637fb&amp;is_advertising=true&amp;ad_domain=VQCATCORE_LST&amp;ad_position=1&amp;ad_click_id=MmZhZGVhNjQtMGUyMy00ZGQ2LTgwZDctODE3NDJhMTQ1YmFi</t>
  </si>
  <si>
    <t>https://www.mercadolibre.com.ar/escritorio-su-office-004-fan-0021-melamina-de-1630mm-x-753mm-x-600mm-x-1400mm-haya-y-negro/p/MLA15980779?pdp_filters=category:MLA30991#searchVariation=MLA15980779&amp;position=5&amp;search_layout=grid&amp;type=product&amp;tracking_id=1d351e61-46b4-468d-994b-9a0ac7c81323</t>
  </si>
  <si>
    <t>https://articulo.mercadolibre.com.ar/MLA-1192634789-mesa-estilo-industrial-hierro-y-madera-200x100x75-_JM#position=29&amp;search_layout=grid&amp;type=item&amp;tracking_id=c77c07ab-d06c-47ba-b42e-2d9a707413a5</t>
  </si>
  <si>
    <t>https://articulo.mercadolibre.com.ar/MLA-1179564749-silla-tolix-clasicas-de-metal-negro-mate-resistente-diseno-_JM#is_advertising=true&amp;position=2&amp;search_layout=grid&amp;type=pad&amp;tracking_id=5c184596-a460-42b6-a97a-e8265539b3e3&amp;is_advertising=true&amp;ad_domain=VQCATCORE_LST&amp;ad_position=2&amp;ad_click_id=MmY2NWZlMDAtNTU4Yi00ODkxLThlMjUtODljN2VmN2UxNTgw</t>
  </si>
  <si>
    <t>https://articulo.mercadolibre.com.ar/MLA-1388375516-dispenser-de-agua-caliente-y-fresca-conex-a-red-premium-_JM#position=19&amp;search_layout=grid&amp;type=item&amp;tracking_id=c92cd9f9-5aef-432f-99af-fb66b73c010c</t>
  </si>
  <si>
    <t>https://www.mercadolibre.com.ar/hp-laser-107w-4zb78a-grisnegro-110v240v/p/MLA16209341?pdp_filters=category:MLA1676#searchVariation=MLA16209341&amp;position=2&amp;search_layout=stack&amp;type=product&amp;tracking_id=2fed57b4-dc3e-4e8a-a476-9c172704c9db</t>
  </si>
  <si>
    <t>https://articulo.mercadolibre.com.ar/MLA-619585961-biblioteca-tisera-librero-oficina-escritorio-stock-bib-11-_JM#position=49&amp;search_layout=grid&amp;type=item&amp;tracking_id=c596fd26-28f6-436a-b413-2dbeb4b4d141</t>
  </si>
  <si>
    <t>https://articulo.mercadolibre.com.ar/MLA-763979920-armario-metalico-con-2-puertas-batientes-y-3-estantes-_JM#position=6&amp;search_layout=grid&amp;type=item&amp;tracking_id=185b086b-c093-4ef8-a74b-70b9a83606e9</t>
  </si>
  <si>
    <t>https://articulo.mercadolibre.com.ar/MLA-1313693332-silla-de-escritorio-recepcion-fija-cbrazos-base-cromada-_JM#position=26&amp;search_layout=grid&amp;type=item&amp;tracking_id=f4f35201-545e-4ad4-8b60-ce6f597d98ef</t>
  </si>
  <si>
    <t>https://articulo.mercadolibre.com.ar/MLA-1130634410-sillon-2-cuerpos-doble-arco-moderno-estar-recepcion-hogar-_JM#position=18&amp;search_layout=stack&amp;type=item&amp;tracking_id=fbfdc2b3-b6a7-4085-b13b-3779432a5f2a</t>
  </si>
  <si>
    <t>https://articulo.mercadolibre.com.ar/MLA-1313693332-silla-de-escritorio-recepcion-fija-cbrazos-base-cromada-_JM#position=23&amp;search_layout=grid&amp;type=item&amp;tracking_id=14430c65-c2bc-4793-9b76-3edb69c33f44</t>
  </si>
  <si>
    <t>https://vehiculo.mercadolibre.com.ar/MLA-1648108734-apiladores-retractiles-toyota-bt-_JM#polycard_client=search-nordic&amp;position=12&amp;search_layout=stack&amp;type=item&amp;tracking_id=f46b04f2-ceb4-45bf-adc0-e00ba45d010f</t>
  </si>
  <si>
    <t>Set Vajilla para 6 personas</t>
  </si>
  <si>
    <t>https://articulo.mercadolibre.com.ar/MLA-1412896129-set-vajilla-completa-platos-vasos-para-6-personas-_JM?searchVariation=179981399894#polycard_client=search-nordic&amp;searchVariation=179981399894&amp;position=8&amp;search_layout=grid&amp;type=item&amp;tracking_id=00925c3c-3c8c-47a5-a532-ff1173e6014e</t>
  </si>
  <si>
    <t xml:space="preserve">GASTOS </t>
  </si>
  <si>
    <t>Gasto Mensual</t>
  </si>
  <si>
    <t>Gasto Anual</t>
  </si>
  <si>
    <t>Sueldo responsable administrativo</t>
  </si>
  <si>
    <t>Sueldo responsable comercial</t>
  </si>
  <si>
    <t>Sueldo reponsable contaduria y finanzas</t>
  </si>
  <si>
    <t>Sueldo responsable RR.HH.</t>
  </si>
  <si>
    <t>Sueldo auxiliar departamento comercial</t>
  </si>
  <si>
    <t>Sueldos directivos</t>
  </si>
  <si>
    <t>Gasto tercerizacion RR.HH</t>
  </si>
  <si>
    <t>Gasto tercerizacion contaduria</t>
  </si>
  <si>
    <t>Energia electrica (No produccion)</t>
  </si>
  <si>
    <t>Consumo Agua</t>
  </si>
  <si>
    <t>Internet + Telefonia</t>
  </si>
  <si>
    <t>Seguros (ART-maquinarias-incendio-etc)</t>
  </si>
  <si>
    <t>Insumos de oficina (hojas, toner, etc.)</t>
  </si>
  <si>
    <t>Pruebas y ensayos (Patentes)</t>
  </si>
  <si>
    <t xml:space="preserve">Publicidad y desarrollo de marketing </t>
  </si>
  <si>
    <t>Comisiones</t>
  </si>
  <si>
    <t>Gastos bancarios</t>
  </si>
  <si>
    <t>Gastos periodo 2024-2028</t>
  </si>
  <si>
    <t>Proyeccion de sueldo resonsable administrativo</t>
  </si>
  <si>
    <t>Matriz MO</t>
  </si>
  <si>
    <t>Total Mensual ($)</t>
  </si>
  <si>
    <t>Costo mensual unitario (USD)</t>
  </si>
  <si>
    <t>Administrativo</t>
  </si>
  <si>
    <t>Comercial</t>
  </si>
  <si>
    <t>Contaduria y finanzas</t>
  </si>
  <si>
    <t>RR.HH.</t>
  </si>
  <si>
    <t>Auxiliar</t>
  </si>
  <si>
    <t>Sueldo director</t>
  </si>
  <si>
    <t>Proyeccion de sueldo resonsable comercial</t>
  </si>
  <si>
    <t>Proyeccion de sueldo resonsable contaduria y finanzas</t>
  </si>
  <si>
    <t>Proyeccion de sueldo resonsable RR.HH</t>
  </si>
  <si>
    <t>Proyeccion de sueldo auxiliar comercial</t>
  </si>
  <si>
    <t>Proyeccion de sueldo director</t>
  </si>
  <si>
    <t xml:space="preserve">Proyeccion de tercerizacion RR.HH </t>
  </si>
  <si>
    <t>Proyeccion de tercerizacion contaduria</t>
  </si>
  <si>
    <t>Proyeccion alquiler</t>
  </si>
  <si>
    <t>Costo fijo ($)</t>
  </si>
  <si>
    <t>Proyeccion de costos de agua</t>
  </si>
  <si>
    <t>Consumo agua mensual por empleado (m3)</t>
  </si>
  <si>
    <t>Total empleados</t>
  </si>
  <si>
    <t>Total consumo (m3)</t>
  </si>
  <si>
    <t>Factor</t>
  </si>
  <si>
    <t>Costo m3 ($)</t>
  </si>
  <si>
    <t>Costo Fijo</t>
  </si>
  <si>
    <t>Proyeccion internet + Telefonia</t>
  </si>
  <si>
    <t>Proyeccion de gastos comedor</t>
  </si>
  <si>
    <t>Costo mensual por empleado ($)</t>
  </si>
  <si>
    <t>Total alivianadores mensual</t>
  </si>
  <si>
    <t>Precio de venta (usd)</t>
  </si>
  <si>
    <t>Porcentaje de comsion</t>
  </si>
  <si>
    <t>Costo anual (USD)</t>
  </si>
  <si>
    <t>Mantenimiento Mensual (USD)</t>
  </si>
  <si>
    <t>Cargos por movimientos (USD)</t>
  </si>
  <si>
    <t>Total mensual</t>
  </si>
  <si>
    <t>Licencias informaticas</t>
  </si>
  <si>
    <t>Windows (USD)</t>
  </si>
  <si>
    <t>Total Anual (USD)</t>
  </si>
  <si>
    <t>Punto de equilibrio económico</t>
  </si>
  <si>
    <t>Costo Fijo [U$D]</t>
  </si>
  <si>
    <t>Precio de venta unitario [U$D]</t>
  </si>
  <si>
    <t>Costo Variable [U$D]</t>
  </si>
  <si>
    <t>Punto de equilibrio [u]</t>
  </si>
  <si>
    <t>Cantidad planificada [u]</t>
  </si>
  <si>
    <t>Diferencia [u]</t>
  </si>
  <si>
    <t>Porcentual</t>
  </si>
  <si>
    <t>Punto de equilibrio financiero</t>
  </si>
  <si>
    <t>Costo fijo No Erogables [U$D]</t>
  </si>
  <si>
    <t>Costos fijo</t>
  </si>
  <si>
    <t>MOD direc</t>
  </si>
  <si>
    <t>Gastos</t>
  </si>
  <si>
    <t>Amortizaciones</t>
  </si>
  <si>
    <t>Pago prestamo</t>
  </si>
  <si>
    <t>Plan de fabricación 2024 (en unidades)</t>
  </si>
  <si>
    <t>Materia Prima</t>
  </si>
  <si>
    <t>Cantidad necesaria para una unidad</t>
  </si>
  <si>
    <t>Costo  materia prima (en USD)</t>
  </si>
  <si>
    <t>L = Plazo de entrega (en días)</t>
  </si>
  <si>
    <t>Lt = Lead time total de reaprovisionamiento (en días)</t>
  </si>
  <si>
    <t xml:space="preserve">D = Demanda anual </t>
  </si>
  <si>
    <t>d = Demanda promedio diaria (días productivos)</t>
  </si>
  <si>
    <t>S = Costo de un pedido</t>
  </si>
  <si>
    <t>H = Costo anual de almacenamiento unitario</t>
  </si>
  <si>
    <t>Q* Cantidad óptima de pedido</t>
  </si>
  <si>
    <t>Nivel de servicio</t>
  </si>
  <si>
    <t>Z = Nivel de servicio deseado</t>
  </si>
  <si>
    <t>Dmáxima</t>
  </si>
  <si>
    <t>Dpromedio</t>
  </si>
  <si>
    <t>SS = Stock de Seguridad</t>
  </si>
  <si>
    <t>R = Punto de reorden</t>
  </si>
  <si>
    <t>Q*en pallets</t>
  </si>
  <si>
    <t>Capacidad utilizada promedio</t>
  </si>
  <si>
    <t>Inventario Promedio en pallets</t>
  </si>
  <si>
    <t>PET Reciclado (en Kg)</t>
  </si>
  <si>
    <t>PET Virgen (en Kg)</t>
  </si>
  <si>
    <t>Masterbatch (en Kg)</t>
  </si>
  <si>
    <t>Pallet normalizado 1.20 x 1.0 Mts (unidad)</t>
  </si>
  <si>
    <t>Carton Rigido 1.20 x 1.10 Mts (unidad)</t>
  </si>
  <si>
    <t>Film Streech (en metros)</t>
  </si>
  <si>
    <t>Fleje plastico (en metros)</t>
  </si>
  <si>
    <t>Esquinero de carton (unidad)</t>
  </si>
  <si>
    <t>Plan de fabricación 2025 (en unidades)</t>
  </si>
  <si>
    <t>Plan de fabricación 2026 (en unidades)</t>
  </si>
  <si>
    <t>Plan de fabricación 2027 (en unidades)</t>
  </si>
  <si>
    <t>Plan de fabricación 2028 (en unidades)</t>
  </si>
  <si>
    <t>SS = Stock de Seguridad en unidad de medida</t>
  </si>
  <si>
    <t>R = Punto de reorden en unidad de medida</t>
  </si>
  <si>
    <t xml:space="preserve">Plan de fabricación Producto Terminado  </t>
  </si>
  <si>
    <t>Capacidad de fabricación utilizada</t>
  </si>
  <si>
    <t>Inventario Acumulado</t>
  </si>
  <si>
    <t>Costo de mantener inventario</t>
  </si>
  <si>
    <t>Demanda Máxima</t>
  </si>
  <si>
    <t>Demanda Promedio</t>
  </si>
  <si>
    <t>Inventario acumulado promedio</t>
  </si>
  <si>
    <t>Capacidad de Depósito de PT utilizada</t>
  </si>
  <si>
    <t>CASH FLOW</t>
  </si>
  <si>
    <t>MES</t>
  </si>
  <si>
    <t>Anual</t>
  </si>
  <si>
    <t>Unidades a vender</t>
  </si>
  <si>
    <t>Fabricadas</t>
  </si>
  <si>
    <t>Ingresos por ventas</t>
  </si>
  <si>
    <t>MP</t>
  </si>
  <si>
    <t>MOD</t>
  </si>
  <si>
    <t>CCP</t>
  </si>
  <si>
    <t>Tasa</t>
  </si>
  <si>
    <t>MOI</t>
  </si>
  <si>
    <t>Responsable administrativo</t>
  </si>
  <si>
    <t>Responsable comercial</t>
  </si>
  <si>
    <t>Reponsable contaduria y finanzas</t>
  </si>
  <si>
    <t>Responsable RR.HH.</t>
  </si>
  <si>
    <t>Auxiliar departamento comercial</t>
  </si>
  <si>
    <t>Director</t>
  </si>
  <si>
    <t>Servicios</t>
  </si>
  <si>
    <t>Energia electrica (No producc.)</t>
  </si>
  <si>
    <t>Internet + Telefono</t>
  </si>
  <si>
    <t xml:space="preserve">Seguros </t>
  </si>
  <si>
    <t>Otros</t>
  </si>
  <si>
    <t>Pruebas y ensayos</t>
  </si>
  <si>
    <t>impuesto a las ganancias (25%)&gt;0USD</t>
  </si>
  <si>
    <t>impuesto a las ganancias (30%)&gt;34.617USD&lt;346.170USD</t>
  </si>
  <si>
    <t>impuesto a las ganancias (35%)&gt;346.170USD</t>
  </si>
  <si>
    <t>ingresos brutos (1,5%)</t>
  </si>
  <si>
    <t>EGRESOS</t>
  </si>
  <si>
    <t>SALDO</t>
  </si>
  <si>
    <t>SALDO ACUM.</t>
  </si>
  <si>
    <t>Capital de trabajo</t>
  </si>
  <si>
    <t>año</t>
  </si>
  <si>
    <t xml:space="preserve">Valor </t>
  </si>
  <si>
    <t>Inversión</t>
  </si>
  <si>
    <t>Tasa de descuento(k)</t>
  </si>
  <si>
    <t xml:space="preserve">VAN </t>
  </si>
  <si>
    <t>TIR</t>
  </si>
  <si>
    <t>FLUJO DE FONDOS</t>
  </si>
  <si>
    <t>to</t>
  </si>
  <si>
    <t>Inversion inicial</t>
  </si>
  <si>
    <t>Inversion Capital de trabajo</t>
  </si>
  <si>
    <t>Total ingresos</t>
  </si>
  <si>
    <t>Gastos varios</t>
  </si>
  <si>
    <t>Inversion de ampliacion</t>
  </si>
  <si>
    <t>Prestamo (Capital + intereses)</t>
  </si>
  <si>
    <t>Total egresos</t>
  </si>
  <si>
    <t>Saldo del periodo</t>
  </si>
  <si>
    <t>Saldo acumulado</t>
  </si>
  <si>
    <t>Vovler al indice</t>
  </si>
  <si>
    <t>Financiacion Monto de Inversion</t>
  </si>
  <si>
    <t>N° Cuota</t>
  </si>
  <si>
    <t>Capital restante</t>
  </si>
  <si>
    <t>intereses</t>
  </si>
  <si>
    <t xml:space="preserve">Amortizacion </t>
  </si>
  <si>
    <t>Cuota</t>
  </si>
  <si>
    <t>Total anual</t>
  </si>
  <si>
    <t>Financiacion inversion</t>
  </si>
  <si>
    <t>Financiacion capital de trabajo</t>
  </si>
  <si>
    <t>INVERSIÓN (USD)</t>
  </si>
  <si>
    <t>CAPITAL DE TRABAJO (USD)</t>
  </si>
  <si>
    <t>PRESTAMO (USD)</t>
  </si>
  <si>
    <t>MODALIDAD</t>
  </si>
  <si>
    <t>En dolares</t>
  </si>
  <si>
    <t>PLAZO</t>
  </si>
  <si>
    <t>48 meses</t>
  </si>
  <si>
    <t>12 meses</t>
  </si>
  <si>
    <t>TASA NOMINAL ANUAL (TNA)</t>
  </si>
  <si>
    <t>Montos anuales pago prestamo</t>
  </si>
  <si>
    <t>Financiacion capital de Trabajo</t>
  </si>
  <si>
    <t>Total Mensuales</t>
  </si>
  <si>
    <t>Monto Total a pagar</t>
  </si>
  <si>
    <t>AÑO</t>
  </si>
  <si>
    <t>Bienes</t>
  </si>
  <si>
    <t>Vida Util (años)</t>
  </si>
  <si>
    <t>Porcentaje anual</t>
  </si>
  <si>
    <t>Precio de compra</t>
  </si>
  <si>
    <t>Amortización anual</t>
  </si>
  <si>
    <t>Año de adquisicion</t>
  </si>
  <si>
    <t>Instalacion de Iluminacion</t>
  </si>
  <si>
    <t>Instalacion de refrigeracion</t>
  </si>
  <si>
    <t>Instalacion de Incendio</t>
  </si>
  <si>
    <t>Instalacion de ventilacion</t>
  </si>
  <si>
    <t>Instalacion de agua</t>
  </si>
  <si>
    <t>Instalacion de aire</t>
  </si>
  <si>
    <t>Instalacion de potencia</t>
  </si>
  <si>
    <t>TOTALES</t>
  </si>
  <si>
    <t>EERR</t>
  </si>
  <si>
    <t>Costos de las ventas</t>
  </si>
  <si>
    <t>Margen Bruto (VCM)</t>
  </si>
  <si>
    <t>Gastos operativos</t>
  </si>
  <si>
    <t>Gastos Administrativos</t>
  </si>
  <si>
    <t>EBITDA</t>
  </si>
  <si>
    <t>Resultados Brutos (EBIT)</t>
  </si>
  <si>
    <t>Gastos financieros</t>
  </si>
  <si>
    <t>Ingresos Brutos PBA (1,5%)</t>
  </si>
  <si>
    <t>Resultado antes de IG</t>
  </si>
  <si>
    <t>Resultados Netos</t>
  </si>
  <si>
    <t>ACTIVIDAD</t>
  </si>
  <si>
    <t>EFECTOS</t>
  </si>
  <si>
    <t>Instalacion de maquinaria</t>
  </si>
  <si>
    <t>Mano de obra directa Inyección</t>
  </si>
  <si>
    <t>Transporte de Materiales</t>
  </si>
  <si>
    <t>Recepcion de MP</t>
  </si>
  <si>
    <t>Fabricacion del producto por Inyeccion</t>
  </si>
  <si>
    <t xml:space="preserve">Desechos contaminados (Aceites, grasas, etc) </t>
  </si>
  <si>
    <t xml:space="preserve">Scrap de PET </t>
  </si>
  <si>
    <t xml:space="preserve">Ruido Molinos </t>
  </si>
  <si>
    <t>ALMACEN  PT/MP</t>
  </si>
  <si>
    <t>Transporte PT dentro de planta</t>
  </si>
  <si>
    <t>Impactos negativos</t>
  </si>
  <si>
    <t>Impactos positivos</t>
  </si>
  <si>
    <t>Balance por actividad</t>
  </si>
  <si>
    <t>FISICO-QUIMICOS</t>
  </si>
  <si>
    <t>Calidad del agua</t>
  </si>
  <si>
    <t> </t>
  </si>
  <si>
    <t>Calidad de aire</t>
  </si>
  <si>
    <t>Suelo</t>
  </si>
  <si>
    <t>ECOLOGICOS</t>
  </si>
  <si>
    <t>Vegetacion</t>
  </si>
  <si>
    <t>Fauna</t>
  </si>
  <si>
    <t>ECONOMICOS</t>
  </si>
  <si>
    <t>Economia/Empleo</t>
  </si>
  <si>
    <t>Crecimiento industrial</t>
  </si>
  <si>
    <t>Impacto</t>
  </si>
  <si>
    <t>Probabilidad</t>
  </si>
  <si>
    <t>Severidad</t>
  </si>
  <si>
    <t>Prioridad</t>
  </si>
  <si>
    <t>Plan de Contingencia</t>
  </si>
  <si>
    <t>Incidencia</t>
  </si>
  <si>
    <t>Escasez de materia prima PET</t>
  </si>
  <si>
    <t>Alto</t>
  </si>
  <si>
    <t>Moderada</t>
  </si>
  <si>
    <t>Alta</t>
  </si>
  <si>
    <t>Diversificar proveedores y mantener un inventario adecuado. Buscar fuentes alternativas de PET.</t>
  </si>
  <si>
    <t>Si se presenta escasez, analizar la posibilidad de usar PET reciclado en distinta proporcion.</t>
  </si>
  <si>
    <t>Fluctuaciones en los precios del PET</t>
  </si>
  <si>
    <t>Medio</t>
  </si>
  <si>
    <t>Establecer acuerdos contractuales a largo plazo con proveedores para estabilizar precios.</t>
  </si>
  <si>
    <t>Ajustar precios de venta si es necesario.</t>
  </si>
  <si>
    <t>Problemas en la cadena de suministro</t>
  </si>
  <si>
    <t>Identificar múltiples rutas de suministro, tener un proveedor secundario y mantener inventarios de seguridad.</t>
  </si>
  <si>
    <t>Utilizar al proveedor secundario si el principal falla.</t>
  </si>
  <si>
    <t>Cambios en la regulación ambiental</t>
  </si>
  <si>
    <t>Baja</t>
  </si>
  <si>
    <t>Monitorear de cerca cambios en la legislación ambiental y ajustar procesos según sea necesario.</t>
  </si>
  <si>
    <t>Adaptar procesos y cumplir con los nuevos requisitos.</t>
  </si>
  <si>
    <t>Fallas en la maquinaria</t>
  </si>
  <si>
    <t>Realizar mantenimiento preventivo, regular y tener acuerdos de servicio con los proveedores de maquinaria.</t>
  </si>
  <si>
    <t>Reparar o reemplazar la maquinaria de inmediato.</t>
  </si>
  <si>
    <t>Falta de mano de obra calificada</t>
  </si>
  <si>
    <t>Establecer programas de capacitación interna y externa para garantizar un personal capacitado.</t>
  </si>
  <si>
    <t>Capacitar al personal y buscar profesionales en el mercado laboral.</t>
  </si>
  <si>
    <t>Variaciones en la demanda del mercado</t>
  </si>
  <si>
    <t>Mantener un monitoreo constante del mercado y diversificar productos o mercados si es necesario.</t>
  </si>
  <si>
    <t>Ajustar la producción según la demanda real.</t>
  </si>
  <si>
    <t>Problemas de calidad del producto</t>
  </si>
  <si>
    <t>Implementar controles de calidad y pruebas en cada etapa de producción.</t>
  </si>
  <si>
    <t>Realizar correcciones y garantizar la calidad del producto.</t>
  </si>
  <si>
    <t>Condiciones meteorológicas adversas (por ejemplo, inundaciones)</t>
  </si>
  <si>
    <t>Implementar un plan de contingencia para proteger la planta y el inventario en caso de eventos climáticos extremos.</t>
  </si>
  <si>
    <t>Tomar medidas de seguridad y proteger los activos en caso de condiciones climáticas adversas.</t>
  </si>
  <si>
    <t>Cambios en la normativa fiscal</t>
  </si>
  <si>
    <t>Mantener un asesor fiscal y financiero para adaptar la estrategia fiscal de acuerdo con los cambios normativos.</t>
  </si>
  <si>
    <t>Ajustar el presupuesto y los flujos de efectivo según sea necesario.</t>
  </si>
  <si>
    <t>Incumplimiento de plazos de entrega</t>
  </si>
  <si>
    <t>Establecer un seguimiento de la cadena de suministro y negociar plazos realistas con proveedores.</t>
  </si>
  <si>
    <t>Ajustar la programación y mantener una comunicación cercana con proveedores.</t>
  </si>
  <si>
    <t>Problemas de financiamiento</t>
  </si>
  <si>
    <t>Diversificar fuentes de financiamiento, como préstamos bancarios, inversión de capital, y mantener un fondo de reserva.</t>
  </si>
  <si>
    <t>Buscar fuentes de financiamiento alternativas y reestructurar deudas si es necesario.</t>
  </si>
  <si>
    <t>Conflictos laborales y sindicales</t>
  </si>
  <si>
    <t>Fomentar un ambiente laboral favorable, promover la comunicación y tener un plan de negociación con sindicatos.</t>
  </si>
  <si>
    <t>Negociar de buena fe y buscar soluciones amigables en caso de conflictos.</t>
  </si>
  <si>
    <t>Cambios en la percepción pública sobre el plástico y el medio ambiente</t>
  </si>
  <si>
    <t>Implementar estrategias de comunicación y marketing que destaquen la sostenibilidad del producto.</t>
  </si>
  <si>
    <t>Adaptar el enfoque de marketing y educar al público sobre las ventajas del producto.</t>
  </si>
  <si>
    <t>COSTO DE MP</t>
  </si>
  <si>
    <t>Original</t>
  </si>
  <si>
    <t>Final</t>
  </si>
  <si>
    <t>Variación</t>
  </si>
  <si>
    <t>Costo CCP (Total anual)</t>
  </si>
  <si>
    <t>Vendidas</t>
  </si>
  <si>
    <t>Tabla comparativa</t>
  </si>
  <si>
    <t>Escenario</t>
  </si>
  <si>
    <t>Variacion demanda</t>
  </si>
  <si>
    <t>Escenario Optimista</t>
  </si>
  <si>
    <t>Escenario Optimista Corregido</t>
  </si>
  <si>
    <t>Escenario Pesimista</t>
  </si>
  <si>
    <t>Escenario Pesimista Corrigido</t>
  </si>
  <si>
    <t>Escenario Base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</si>
</sst>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_-&quot;$&quot;\ * #,##0_-;\-&quot;$&quot;\ * #,##0_-;_-&quot;$&quot;\ * &quot;-&quot;_-;_-@_-"/>
    <numFmt numFmtId="165" formatCode="_-&quot;$&quot;\ * #,##0.00_-;\-&quot;$&quot;\ * #,##0.00_-;_-&quot;$&quot;\ * &quot;-&quot;??_-;_-@_-"/>
    <numFmt numFmtId="166" formatCode="0.0"/>
    <numFmt numFmtId="167" formatCode="_-&quot;$&quot;\ * #,##0_-;\-&quot;$&quot;\ * #,##0_-;_-&quot;$&quot;\ * &quot;-&quot;??_-;_-@_-"/>
    <numFmt numFmtId="168" formatCode="0.0%"/>
    <numFmt numFmtId="169" formatCode="_-&quot;$&quot;\ * #,##0_-;\-&quot;$&quot;\ * #,##0_-;_-&quot;$&quot;\ * &quot;-&quot;??_-;_-@"/>
    <numFmt numFmtId="170" formatCode="_-[$$-2C0A]\ * #,##0_-;\-[$$-2C0A]\ * #,##0_-;_-[$$-2C0A]\ * &quot;-&quot;??_-;_-@_-"/>
    <numFmt numFmtId="171" formatCode="[$ $]#,##0.00"/>
    <numFmt numFmtId="172" formatCode="&quot;$&quot;\ #,##0.00"/>
    <numFmt numFmtId="173" formatCode="0.0000"/>
    <numFmt numFmtId="174" formatCode="_-* #,##0.00\ _P_t_s_-;\-* #,##0.00\ _P_t_s_-;_-* &quot;-&quot;??\ _P_t_s_-;_-@_-"/>
    <numFmt numFmtId="175" formatCode="_ * #,##0.00_ ;_ * \-#,##0.00_ ;_ * &quot;-&quot;??_ ;_ @_ "/>
    <numFmt numFmtId="176" formatCode="_-* #,##0.00\ _€_-;\-* #,##0.00\ _€_-;_-* &quot;-&quot;??\ _€_-;_-@_-"/>
    <numFmt numFmtId="177" formatCode="_-&quot;$&quot;\ * #,##0.000_-;\-&quot;$&quot;\ * #,##0.000_-;_-&quot;$&quot;\ * &quot;-&quot;??_-;_-@_-"/>
    <numFmt numFmtId="178" formatCode="_-&quot;$&quot;\ * #,##0.0000_-;\-&quot;$&quot;\ * #,##0.0000_-;_-&quot;$&quot;\ * &quot;-&quot;??_-;_-@_-"/>
    <numFmt numFmtId="179" formatCode="_-&quot;$&quot;\ * #,##0.0_-;\-&quot;$&quot;\ * #,##0.0_-;_-&quot;$&quot;\ * &quot;-&quot;_-;_-@_-"/>
    <numFmt numFmtId="180" formatCode="_-&quot;$&quot;\ * #,##0.0_-;\-&quot;$&quot;\ * #,##0.0_-;_-&quot;$&quot;\ * &quot;-&quot;?_-;_-@_-"/>
    <numFmt numFmtId="181" formatCode="_-&quot;$&quot;\ * #,##0.0_-;\-&quot;$&quot;\ * #,##0.0_-;_-&quot;$&quot;\ * &quot;-&quot;??_-;_-@_-"/>
    <numFmt numFmtId="182" formatCode="_-[$$-2C0A]\ * #,##0.0_-;\-[$$-2C0A]\ * #,##0.0_-;_-[$$-2C0A]\ * &quot;-&quot;??_-;_-@_-"/>
    <numFmt numFmtId="183" formatCode="_-[$$-2C0A]\ * #,##0.0_-;\-[$$-2C0A]\ * #,##0.0_-;_-[$$-2C0A]\ * &quot;-&quot;?_-;_-@_-"/>
    <numFmt numFmtId="184" formatCode="#,##0.0"/>
    <numFmt numFmtId="185" formatCode="_-&quot;$&quot;\ * #,##0.00_-;\-&quot;$&quot;\ * #,##0.00_-;_-&quot;$&quot;\ * &quot;-&quot;_-;_-@_-"/>
  </numFmts>
  <fonts count="91">
    <font>
      <sz val="11"/>
      <color theme="1"/>
      <name val="Calibri"/>
      <family val="2"/>
      <scheme val="minor"/>
    </font>
    <font>
      <b/>
      <sz val="11"/>
      <color indexed="8"/>
      <name val="Calibri"/>
      <family val="2"/>
      <scheme val="minor"/>
    </font>
    <font>
      <sz val="11"/>
      <color indexed="8"/>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sz val="10"/>
      <name val="Arial"/>
      <family val="2"/>
    </font>
    <font>
      <sz val="11"/>
      <name val="Calibri"/>
      <family val="2"/>
      <scheme val="minor"/>
    </font>
    <font>
      <sz val="11"/>
      <color rgb="FF000000"/>
      <name val="Calibri"/>
      <family val="2"/>
      <scheme val="minor"/>
    </font>
    <font>
      <b/>
      <sz val="11"/>
      <color rgb="FF000000"/>
      <name val="Calibri"/>
      <family val="2"/>
      <scheme val="minor"/>
    </font>
    <font>
      <u/>
      <sz val="11"/>
      <color theme="10"/>
      <name val="Calibri"/>
      <family val="2"/>
      <scheme val="minor"/>
    </font>
    <font>
      <sz val="12"/>
      <color theme="1"/>
      <name val="Calibri"/>
      <family val="2"/>
      <scheme val="minor"/>
    </font>
    <font>
      <b/>
      <sz val="20"/>
      <name val="Calibri"/>
      <family val="2"/>
      <scheme val="minor"/>
    </font>
    <font>
      <b/>
      <sz val="12"/>
      <name val="Calibri"/>
      <family val="2"/>
      <scheme val="minor"/>
    </font>
    <font>
      <sz val="12"/>
      <name val="Calibri"/>
      <family val="2"/>
      <scheme val="minor"/>
    </font>
    <font>
      <b/>
      <u/>
      <sz val="12"/>
      <name val="Calibri"/>
      <family val="2"/>
      <scheme val="minor"/>
    </font>
    <font>
      <u/>
      <sz val="12"/>
      <name val="Calibri"/>
      <family val="2"/>
      <scheme val="minor"/>
    </font>
    <font>
      <u/>
      <sz val="11"/>
      <color theme="1"/>
      <name val="Calibri"/>
      <family val="2"/>
      <scheme val="minor"/>
    </font>
    <font>
      <b/>
      <sz val="11"/>
      <color theme="1"/>
      <name val="Calibri"/>
      <family val="2"/>
    </font>
    <font>
      <sz val="11"/>
      <color theme="1"/>
      <name val="Calibri"/>
      <family val="2"/>
    </font>
    <font>
      <sz val="11"/>
      <name val="Calibri"/>
      <family val="2"/>
    </font>
    <font>
      <b/>
      <sz val="11"/>
      <name val="Calibri"/>
      <family val="2"/>
      <scheme val="minor"/>
    </font>
    <font>
      <sz val="11"/>
      <color rgb="FF00B050"/>
      <name val="Calibri"/>
      <family val="2"/>
      <scheme val="minor"/>
    </font>
    <font>
      <sz val="10"/>
      <color theme="1"/>
      <name val="Arial"/>
      <family val="2"/>
    </font>
    <font>
      <sz val="11"/>
      <color rgb="FFFF0000"/>
      <name val="Calibri"/>
      <family val="2"/>
      <scheme val="minor"/>
    </font>
    <font>
      <i/>
      <sz val="11"/>
      <color theme="1"/>
      <name val="Calibri"/>
      <family val="2"/>
    </font>
    <font>
      <sz val="8"/>
      <name val="Calibri"/>
      <family val="2"/>
      <scheme val="minor"/>
    </font>
    <font>
      <i/>
      <sz val="11"/>
      <color theme="1"/>
      <name val="Calibri"/>
      <family val="2"/>
      <scheme val="minor"/>
    </font>
    <font>
      <sz val="11"/>
      <color rgb="FF333333"/>
      <name val="Calibri"/>
      <family val="2"/>
      <scheme val="minor"/>
    </font>
    <font>
      <b/>
      <sz val="11"/>
      <name val="Calibri"/>
      <family val="2"/>
    </font>
    <font>
      <sz val="11"/>
      <color rgb="FF31849B"/>
      <name val="Calibri"/>
      <family val="2"/>
      <scheme val="minor"/>
    </font>
    <font>
      <sz val="11"/>
      <color theme="10"/>
      <name val="Calibri"/>
      <family val="2"/>
      <scheme val="minor"/>
    </font>
    <font>
      <b/>
      <sz val="11"/>
      <color rgb="FFFF0000"/>
      <name val="Calibri"/>
      <family val="2"/>
      <scheme val="minor"/>
    </font>
    <font>
      <b/>
      <sz val="10"/>
      <color theme="1"/>
      <name val="Arial"/>
      <family val="2"/>
    </font>
    <font>
      <b/>
      <sz val="18"/>
      <color theme="1"/>
      <name val="Calibri"/>
      <family val="2"/>
      <scheme val="minor"/>
    </font>
    <font>
      <b/>
      <sz val="14"/>
      <color theme="1"/>
      <name val="Calibri"/>
      <family val="2"/>
      <scheme val="minor"/>
    </font>
    <font>
      <b/>
      <sz val="14"/>
      <color rgb="FF000000"/>
      <name val="Arial"/>
      <family val="2"/>
    </font>
    <font>
      <sz val="11"/>
      <color rgb="FF000000"/>
      <name val="Calibri"/>
      <family val="2"/>
    </font>
    <font>
      <b/>
      <sz val="14"/>
      <color rgb="FF000000"/>
      <name val="Calibri"/>
      <family val="2"/>
    </font>
    <font>
      <b/>
      <sz val="11"/>
      <color rgb="FF000000"/>
      <name val="Calibri"/>
      <family val="2"/>
    </font>
    <font>
      <b/>
      <sz val="11"/>
      <color rgb="FF374151"/>
      <name val="Calibri"/>
      <family val="2"/>
      <scheme val="minor"/>
    </font>
    <font>
      <sz val="11"/>
      <color rgb="FF374151"/>
      <name val="Calibri"/>
      <family val="2"/>
      <scheme val="minor"/>
    </font>
    <font>
      <b/>
      <sz val="11"/>
      <color rgb="FFFF0000"/>
      <name val="Calibri"/>
      <family val="2"/>
    </font>
    <font>
      <b/>
      <sz val="11"/>
      <color rgb="FF00B05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0"/>
      <name val="Arial"/>
      <family val="2"/>
    </font>
    <font>
      <u/>
      <sz val="10"/>
      <color indexed="12"/>
      <name val="Arial"/>
      <family val="2"/>
    </font>
    <font>
      <sz val="11"/>
      <color rgb="FF9C6500"/>
      <name val="Calibri"/>
      <family val="2"/>
      <scheme val="minor"/>
    </font>
    <font>
      <b/>
      <sz val="18"/>
      <color theme="3"/>
      <name val="Calibri Light"/>
      <family val="2"/>
      <scheme val="major"/>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8"/>
      <name val="Calibri"/>
      <family val="2"/>
    </font>
    <font>
      <b/>
      <sz val="15"/>
      <color indexed="54"/>
      <name val="Calibri"/>
      <family val="2"/>
    </font>
    <font>
      <u/>
      <sz val="9.35"/>
      <color theme="10"/>
      <name val="Calibri"/>
      <family val="2"/>
    </font>
    <font>
      <b/>
      <sz val="12"/>
      <color rgb="FF000000"/>
      <name val="Calibri"/>
      <family val="2"/>
      <scheme val="minor"/>
    </font>
    <font>
      <b/>
      <sz val="12"/>
      <color theme="1"/>
      <name val="GreekC"/>
    </font>
    <font>
      <i/>
      <sz val="11"/>
      <color rgb="FF666666"/>
      <name val="Calibri"/>
      <family val="2"/>
      <scheme val="minor"/>
    </font>
    <font>
      <sz val="11"/>
      <color rgb="FF3A3A3A"/>
      <name val="Calibri"/>
      <family val="2"/>
      <scheme val="minor"/>
    </font>
    <font>
      <b/>
      <u/>
      <sz val="12"/>
      <color theme="1"/>
      <name val="Calibri"/>
      <family val="2"/>
      <scheme val="minor"/>
    </font>
    <font>
      <u/>
      <sz val="12"/>
      <color theme="1"/>
      <name val="Calibri"/>
      <family val="2"/>
      <scheme val="minor"/>
    </font>
    <font>
      <b/>
      <sz val="13"/>
      <color theme="1"/>
      <name val="Calibri"/>
      <family val="2"/>
      <scheme val="minor"/>
    </font>
    <font>
      <b/>
      <u/>
      <sz val="9"/>
      <color rgb="FF000000"/>
      <name val="Calibri"/>
      <family val="2"/>
    </font>
    <font>
      <b/>
      <sz val="9"/>
      <color rgb="FF000000"/>
      <name val="Calibri"/>
      <family val="2"/>
    </font>
    <font>
      <sz val="9"/>
      <color rgb="FF000000"/>
      <name val="Calibri"/>
      <family val="2"/>
    </font>
    <font>
      <sz val="9"/>
      <color theme="1"/>
      <name val="Calibri"/>
      <family val="2"/>
    </font>
    <font>
      <b/>
      <sz val="11"/>
      <color theme="1"/>
      <name val="Aptos"/>
      <family val="2"/>
    </font>
    <font>
      <b/>
      <sz val="11"/>
      <color theme="8" tint="0.79998168889431442"/>
      <name val="Calibri"/>
      <family val="2"/>
      <scheme val="minor"/>
    </font>
  </fonts>
  <fills count="90">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70C0"/>
        <bgColor indexed="64"/>
      </patternFill>
    </fill>
    <fill>
      <patternFill patternType="solid">
        <fgColor rgb="FF00B0F0"/>
        <bgColor indexed="64"/>
      </patternFill>
    </fill>
    <fill>
      <patternFill patternType="solid">
        <fgColor theme="8" tint="0.79998168889431442"/>
        <bgColor indexed="64"/>
      </patternFill>
    </fill>
    <fill>
      <patternFill patternType="solid">
        <fgColor rgb="FFFFFF00"/>
        <bgColor indexed="64"/>
      </patternFill>
    </fill>
    <fill>
      <patternFill patternType="solid">
        <fgColor rgb="FF00B0F0"/>
        <bgColor rgb="FFBDD6EE"/>
      </patternFill>
    </fill>
    <fill>
      <patternFill patternType="solid">
        <fgColor theme="0"/>
        <bgColor rgb="FFBFBFBF"/>
      </patternFill>
    </fill>
    <fill>
      <patternFill patternType="solid">
        <fgColor theme="0"/>
        <bgColor rgb="FF00B0F0"/>
      </patternFill>
    </fill>
    <fill>
      <patternFill patternType="solid">
        <fgColor theme="0"/>
        <bgColor rgb="FFF4B083"/>
      </patternFill>
    </fill>
    <fill>
      <patternFill patternType="solid">
        <fgColor rgb="FF00B0F0"/>
        <bgColor rgb="FFF4B083"/>
      </patternFill>
    </fill>
    <fill>
      <patternFill patternType="solid">
        <fgColor rgb="FF00B0F0"/>
        <bgColor rgb="FFFFA3A3"/>
      </patternFill>
    </fill>
    <fill>
      <patternFill patternType="solid">
        <fgColor rgb="FF00B0F0"/>
        <bgColor rgb="FFA8D08D"/>
      </patternFill>
    </fill>
    <fill>
      <patternFill patternType="solid">
        <fgColor rgb="FF00B0F0"/>
        <bgColor rgb="FFDADADA"/>
      </patternFill>
    </fill>
    <fill>
      <patternFill patternType="solid">
        <fgColor rgb="FF00B0F0"/>
        <bgColor rgb="FFF2F2F2"/>
      </patternFill>
    </fill>
    <fill>
      <patternFill patternType="solid">
        <fgColor theme="1"/>
        <bgColor indexed="64"/>
      </patternFill>
    </fill>
    <fill>
      <patternFill patternType="solid">
        <fgColor rgb="FF00B0F0"/>
        <bgColor rgb="FF8EAADB"/>
      </patternFill>
    </fill>
    <fill>
      <patternFill patternType="solid">
        <fgColor theme="4" tint="0.79998168889431442"/>
        <bgColor indexed="64"/>
      </patternFill>
    </fill>
    <fill>
      <patternFill patternType="solid">
        <fgColor rgb="FFFFFFFF"/>
        <bgColor indexed="64"/>
      </patternFill>
    </fill>
    <fill>
      <patternFill patternType="solid">
        <fgColor theme="4" tint="0.59999389629810485"/>
        <bgColor indexed="64"/>
      </patternFill>
    </fill>
    <fill>
      <patternFill patternType="solid">
        <fgColor theme="0"/>
        <bgColor rgb="FF8EAADB"/>
      </patternFill>
    </fill>
    <fill>
      <patternFill patternType="solid">
        <fgColor rgb="FFFFFF66"/>
        <bgColor indexed="64"/>
      </patternFill>
    </fill>
    <fill>
      <patternFill patternType="solid">
        <fgColor rgb="FF00B0F0"/>
        <bgColor rgb="FF93C47D"/>
      </patternFill>
    </fill>
    <fill>
      <patternFill patternType="solid">
        <fgColor theme="4" tint="0.79998168889431442"/>
        <bgColor rgb="FF93C47D"/>
      </patternFill>
    </fill>
    <fill>
      <patternFill patternType="solid">
        <fgColor rgb="FFFFFFFF"/>
        <bgColor rgb="FFFFFFFF"/>
      </patternFill>
    </fill>
    <fill>
      <patternFill patternType="solid">
        <fgColor theme="0" tint="-4.9989318521683403E-2"/>
        <bgColor indexed="64"/>
      </patternFill>
    </fill>
    <fill>
      <patternFill patternType="solid">
        <fgColor theme="4" tint="0.79998168889431442"/>
        <bgColor rgb="FFFFE699"/>
      </patternFill>
    </fill>
    <fill>
      <patternFill patternType="solid">
        <fgColor theme="8" tint="0.79998168889431442"/>
        <bgColor rgb="FFFFD966"/>
      </patternFill>
    </fill>
    <fill>
      <patternFill patternType="solid">
        <fgColor theme="8" tint="0.79998168889431442"/>
        <bgColor rgb="FFA9D08E"/>
      </patternFill>
    </fill>
    <fill>
      <patternFill patternType="solid">
        <fgColor theme="8" tint="0.79998168889431442"/>
        <bgColor rgb="FFFFFFFF"/>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9" tint="0.39997558519241921"/>
        <bgColor indexed="64"/>
      </patternFill>
    </fill>
    <fill>
      <patternFill patternType="solid">
        <fgColor theme="4" tint="0.39997558519241921"/>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5" tint="0.79998168889431442"/>
        <bgColor indexed="64"/>
      </patternFill>
    </fill>
  </fills>
  <borders count="14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right/>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
      <left style="thin">
        <color indexed="64"/>
      </left>
      <right style="medium">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ck">
        <color indexed="64"/>
      </left>
      <right style="thin">
        <color indexed="64"/>
      </right>
      <top style="medium">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bottom style="thin">
        <color indexed="64"/>
      </bottom>
      <diagonal/>
    </border>
    <border>
      <left/>
      <right style="thin">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style="thin">
        <color rgb="FF000000"/>
      </right>
      <top style="medium">
        <color indexed="64"/>
      </top>
      <bottom style="thin">
        <color rgb="FF000000"/>
      </bottom>
      <diagonal/>
    </border>
    <border>
      <left/>
      <right style="thin">
        <color indexed="64"/>
      </right>
      <top/>
      <bottom/>
      <diagonal/>
    </border>
    <border>
      <left style="thin">
        <color indexed="64"/>
      </left>
      <right/>
      <top style="thin">
        <color indexed="64"/>
      </top>
      <bottom/>
      <diagonal/>
    </border>
    <border>
      <left style="medium">
        <color indexed="64"/>
      </left>
      <right style="medium">
        <color indexed="64"/>
      </right>
      <top style="thin">
        <color indexed="64"/>
      </top>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rgb="FF000000"/>
      </left>
      <right style="medium">
        <color indexed="64"/>
      </right>
      <top style="medium">
        <color indexed="64"/>
      </top>
      <bottom style="thin">
        <color rgb="FF000000"/>
      </bottom>
      <diagonal/>
    </border>
    <border>
      <left style="medium">
        <color rgb="FFD9D9E3"/>
      </left>
      <right/>
      <top style="medium">
        <color rgb="FFD9D9E3"/>
      </top>
      <bottom style="medium">
        <color rgb="FFD9D9E3"/>
      </bottom>
      <diagonal/>
    </border>
    <border>
      <left style="medium">
        <color rgb="FFD9D9E3"/>
      </left>
      <right style="medium">
        <color rgb="FFD9D9E3"/>
      </right>
      <top style="medium">
        <color rgb="FFD9D9E3"/>
      </top>
      <bottom style="medium">
        <color rgb="FFD9D9E3"/>
      </bottom>
      <diagonal/>
    </border>
    <border>
      <left style="medium">
        <color rgb="FFD9D9E3"/>
      </left>
      <right/>
      <top/>
      <bottom style="medium">
        <color rgb="FFD9D9E3"/>
      </bottom>
      <diagonal/>
    </border>
    <border>
      <left style="medium">
        <color rgb="FFD9D9E3"/>
      </left>
      <right style="medium">
        <color rgb="FFD9D9E3"/>
      </right>
      <top/>
      <bottom style="medium">
        <color rgb="FFD9D9E3"/>
      </bottom>
      <diagonal/>
    </border>
    <border>
      <left/>
      <right style="thin">
        <color indexed="64"/>
      </right>
      <top/>
      <bottom style="medium">
        <color indexed="64"/>
      </bottom>
      <diagonal/>
    </border>
    <border>
      <left/>
      <right style="thin">
        <color indexed="64"/>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49"/>
      </bottom>
      <diagonal/>
    </border>
    <border>
      <left/>
      <right/>
      <top/>
      <bottom style="thick">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thin">
        <color rgb="FF000000"/>
      </right>
      <top style="thin">
        <color rgb="FF000000"/>
      </top>
      <bottom style="medium">
        <color indexed="64"/>
      </bottom>
      <diagonal/>
    </border>
    <border>
      <left style="thin">
        <color rgb="FF000000"/>
      </left>
      <right style="thin">
        <color rgb="FF000000"/>
      </right>
      <top style="thin">
        <color rgb="FF000000"/>
      </top>
      <bottom/>
      <diagonal/>
    </border>
    <border>
      <left style="thin">
        <color indexed="64"/>
      </left>
      <right style="medium">
        <color auto="1"/>
      </right>
      <top/>
      <bottom style="double">
        <color auto="1"/>
      </bottom>
      <diagonal/>
    </border>
    <border>
      <left style="thin">
        <color indexed="64"/>
      </left>
      <right style="thin">
        <color auto="1"/>
      </right>
      <top/>
      <bottom style="double">
        <color auto="1"/>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indexed="64"/>
      </left>
      <right style="medium">
        <color indexed="64"/>
      </right>
      <top style="medium">
        <color indexed="64"/>
      </top>
      <bottom style="medium">
        <color rgb="FF000000"/>
      </bottom>
      <diagonal/>
    </border>
    <border>
      <left style="medium">
        <color indexed="64"/>
      </left>
      <right style="medium">
        <color indexed="64"/>
      </right>
      <top/>
      <bottom style="medium">
        <color rgb="FF000000"/>
      </bottom>
      <diagonal/>
    </border>
    <border>
      <left/>
      <right style="medium">
        <color rgb="FF000000"/>
      </right>
      <top/>
      <bottom/>
      <diagonal/>
    </border>
    <border>
      <left style="thin">
        <color rgb="FF000000"/>
      </left>
      <right/>
      <top style="medium">
        <color indexed="64"/>
      </top>
      <bottom style="thin">
        <color indexed="64"/>
      </bottom>
      <diagonal/>
    </border>
  </borders>
  <cellStyleXfs count="104">
    <xf numFmtId="0" fontId="0" fillId="0" borderId="0"/>
    <xf numFmtId="165" fontId="3" fillId="0" borderId="0" applyFont="0" applyFill="0" applyBorder="0" applyAlignment="0" applyProtection="0"/>
    <xf numFmtId="9" fontId="3" fillId="0" borderId="0" applyFont="0" applyFill="0" applyBorder="0" applyAlignment="0" applyProtection="0"/>
    <xf numFmtId="0" fontId="6" fillId="0" borderId="0"/>
    <xf numFmtId="0" fontId="10" fillId="0" borderId="0" applyNumberFormat="0" applyFill="0" applyBorder="0" applyAlignment="0" applyProtection="0"/>
    <xf numFmtId="0" fontId="10" fillId="0" borderId="0" applyNumberFormat="0" applyFill="0" applyBorder="0" applyAlignment="0" applyProtection="0"/>
    <xf numFmtId="0" fontId="56" fillId="0" borderId="0"/>
    <xf numFmtId="9" fontId="56" fillId="0" borderId="0" applyFont="0" applyFill="0" applyBorder="0" applyAlignment="0" applyProtection="0"/>
    <xf numFmtId="0" fontId="60" fillId="63" borderId="0" applyNumberFormat="0" applyBorder="0" applyAlignment="0" applyProtection="0"/>
    <xf numFmtId="0" fontId="3" fillId="40" borderId="0" applyNumberFormat="0" applyBorder="0" applyAlignment="0" applyProtection="0"/>
    <xf numFmtId="0" fontId="60" fillId="64" borderId="0" applyNumberFormat="0" applyBorder="0" applyAlignment="0" applyProtection="0"/>
    <xf numFmtId="0" fontId="3" fillId="44" borderId="0" applyNumberFormat="0" applyBorder="0" applyAlignment="0" applyProtection="0"/>
    <xf numFmtId="0" fontId="60" fillId="65" borderId="0" applyNumberFormat="0" applyBorder="0" applyAlignment="0" applyProtection="0"/>
    <xf numFmtId="0" fontId="3" fillId="48" borderId="0" applyNumberFormat="0" applyBorder="0" applyAlignment="0" applyProtection="0"/>
    <xf numFmtId="0" fontId="60" fillId="66" borderId="0" applyNumberFormat="0" applyBorder="0" applyAlignment="0" applyProtection="0"/>
    <xf numFmtId="0" fontId="3" fillId="52" borderId="0" applyNumberFormat="0" applyBorder="0" applyAlignment="0" applyProtection="0"/>
    <xf numFmtId="0" fontId="60" fillId="67" borderId="0" applyNumberFormat="0" applyBorder="0" applyAlignment="0" applyProtection="0"/>
    <xf numFmtId="0" fontId="3" fillId="56" borderId="0" applyNumberFormat="0" applyBorder="0" applyAlignment="0" applyProtection="0"/>
    <xf numFmtId="0" fontId="60" fillId="68" borderId="0" applyNumberFormat="0" applyBorder="0" applyAlignment="0" applyProtection="0"/>
    <xf numFmtId="0" fontId="3" fillId="60" borderId="0" applyNumberFormat="0" applyBorder="0" applyAlignment="0" applyProtection="0"/>
    <xf numFmtId="0" fontId="60" fillId="69" borderId="0" applyNumberFormat="0" applyBorder="0" applyAlignment="0" applyProtection="0"/>
    <xf numFmtId="0" fontId="3" fillId="41" borderId="0" applyNumberFormat="0" applyBorder="0" applyAlignment="0" applyProtection="0"/>
    <xf numFmtId="0" fontId="60" fillId="70" borderId="0" applyNumberFormat="0" applyBorder="0" applyAlignment="0" applyProtection="0"/>
    <xf numFmtId="0" fontId="3" fillId="45" borderId="0" applyNumberFormat="0" applyBorder="0" applyAlignment="0" applyProtection="0"/>
    <xf numFmtId="0" fontId="60" fillId="71" borderId="0" applyNumberFormat="0" applyBorder="0" applyAlignment="0" applyProtection="0"/>
    <xf numFmtId="0" fontId="3" fillId="49" borderId="0" applyNumberFormat="0" applyBorder="0" applyAlignment="0" applyProtection="0"/>
    <xf numFmtId="0" fontId="60" fillId="66" borderId="0" applyNumberFormat="0" applyBorder="0" applyAlignment="0" applyProtection="0"/>
    <xf numFmtId="0" fontId="3" fillId="53" borderId="0" applyNumberFormat="0" applyBorder="0" applyAlignment="0" applyProtection="0"/>
    <xf numFmtId="0" fontId="60" fillId="69" borderId="0" applyNumberFormat="0" applyBorder="0" applyAlignment="0" applyProtection="0"/>
    <xf numFmtId="0" fontId="3" fillId="57" borderId="0" applyNumberFormat="0" applyBorder="0" applyAlignment="0" applyProtection="0"/>
    <xf numFmtId="0" fontId="60" fillId="72" borderId="0" applyNumberFormat="0" applyBorder="0" applyAlignment="0" applyProtection="0"/>
    <xf numFmtId="0" fontId="3" fillId="61" borderId="0" applyNumberFormat="0" applyBorder="0" applyAlignment="0" applyProtection="0"/>
    <xf numFmtId="0" fontId="61" fillId="73" borderId="0" applyNumberFormat="0" applyBorder="0" applyAlignment="0" applyProtection="0"/>
    <xf numFmtId="0" fontId="55" fillId="42" borderId="0" applyNumberFormat="0" applyBorder="0" applyAlignment="0" applyProtection="0"/>
    <xf numFmtId="0" fontId="61" fillId="70" borderId="0" applyNumberFormat="0" applyBorder="0" applyAlignment="0" applyProtection="0"/>
    <xf numFmtId="0" fontId="55" fillId="46" borderId="0" applyNumberFormat="0" applyBorder="0" applyAlignment="0" applyProtection="0"/>
    <xf numFmtId="0" fontId="61" fillId="71" borderId="0" applyNumberFormat="0" applyBorder="0" applyAlignment="0" applyProtection="0"/>
    <xf numFmtId="0" fontId="55" fillId="50" borderId="0" applyNumberFormat="0" applyBorder="0" applyAlignment="0" applyProtection="0"/>
    <xf numFmtId="0" fontId="61" fillId="74" borderId="0" applyNumberFormat="0" applyBorder="0" applyAlignment="0" applyProtection="0"/>
    <xf numFmtId="0" fontId="55" fillId="54" borderId="0" applyNumberFormat="0" applyBorder="0" applyAlignment="0" applyProtection="0"/>
    <xf numFmtId="0" fontId="61" fillId="75" borderId="0" applyNumberFormat="0" applyBorder="0" applyAlignment="0" applyProtection="0"/>
    <xf numFmtId="0" fontId="55" fillId="58" borderId="0" applyNumberFormat="0" applyBorder="0" applyAlignment="0" applyProtection="0"/>
    <xf numFmtId="0" fontId="61" fillId="76" borderId="0" applyNumberFormat="0" applyBorder="0" applyAlignment="0" applyProtection="0"/>
    <xf numFmtId="0" fontId="55" fillId="62" borderId="0" applyNumberFormat="0" applyBorder="0" applyAlignment="0" applyProtection="0"/>
    <xf numFmtId="0" fontId="47" fillId="32" borderId="0" applyNumberFormat="0" applyBorder="0" applyAlignment="0" applyProtection="0"/>
    <xf numFmtId="0" fontId="62" fillId="77" borderId="106" applyNumberFormat="0" applyAlignment="0" applyProtection="0"/>
    <xf numFmtId="0" fontId="51" fillId="36" borderId="100" applyNumberFormat="0" applyAlignment="0" applyProtection="0"/>
    <xf numFmtId="0" fontId="63" fillId="78" borderId="107" applyNumberFormat="0" applyAlignment="0" applyProtection="0"/>
    <xf numFmtId="0" fontId="53" fillId="37" borderId="103" applyNumberFormat="0" applyAlignment="0" applyProtection="0"/>
    <xf numFmtId="0" fontId="64" fillId="0" borderId="108" applyNumberFormat="0" applyFill="0" applyAlignment="0" applyProtection="0"/>
    <xf numFmtId="0" fontId="52" fillId="0" borderId="102" applyNumberFormat="0" applyFill="0" applyAlignment="0" applyProtection="0"/>
    <xf numFmtId="0" fontId="76" fillId="0" borderId="109" applyNumberFormat="0" applyFill="0" applyAlignment="0" applyProtection="0"/>
    <xf numFmtId="0" fontId="44" fillId="0" borderId="97" applyNumberFormat="0" applyFill="0" applyAlignment="0" applyProtection="0"/>
    <xf numFmtId="0" fontId="65" fillId="0" borderId="0" applyNumberFormat="0" applyFill="0" applyBorder="0" applyAlignment="0" applyProtection="0"/>
    <xf numFmtId="0" fontId="46" fillId="0" borderId="0" applyNumberFormat="0" applyFill="0" applyBorder="0" applyAlignment="0" applyProtection="0"/>
    <xf numFmtId="0" fontId="61" fillId="79" borderId="0" applyNumberFormat="0" applyBorder="0" applyAlignment="0" applyProtection="0"/>
    <xf numFmtId="0" fontId="55" fillId="39" borderId="0" applyNumberFormat="0" applyBorder="0" applyAlignment="0" applyProtection="0"/>
    <xf numFmtId="0" fontId="61" fillId="80" borderId="0" applyNumberFormat="0" applyBorder="0" applyAlignment="0" applyProtection="0"/>
    <xf numFmtId="0" fontId="55" fillId="43" borderId="0" applyNumberFormat="0" applyBorder="0" applyAlignment="0" applyProtection="0"/>
    <xf numFmtId="0" fontId="61" fillId="81" borderId="0" applyNumberFormat="0" applyBorder="0" applyAlignment="0" applyProtection="0"/>
    <xf numFmtId="0" fontId="55" fillId="47" borderId="0" applyNumberFormat="0" applyBorder="0" applyAlignment="0" applyProtection="0"/>
    <xf numFmtId="0" fontId="61" fillId="74" borderId="0" applyNumberFormat="0" applyBorder="0" applyAlignment="0" applyProtection="0"/>
    <xf numFmtId="0" fontId="55" fillId="51" borderId="0" applyNumberFormat="0" applyBorder="0" applyAlignment="0" applyProtection="0"/>
    <xf numFmtId="0" fontId="61" fillId="75" borderId="0" applyNumberFormat="0" applyBorder="0" applyAlignment="0" applyProtection="0"/>
    <xf numFmtId="0" fontId="55" fillId="55" borderId="0" applyNumberFormat="0" applyBorder="0" applyAlignment="0" applyProtection="0"/>
    <xf numFmtId="0" fontId="61" fillId="82" borderId="0" applyNumberFormat="0" applyBorder="0" applyAlignment="0" applyProtection="0"/>
    <xf numFmtId="0" fontId="55" fillId="59" borderId="0" applyNumberFormat="0" applyBorder="0" applyAlignment="0" applyProtection="0"/>
    <xf numFmtId="0" fontId="66" fillId="68" borderId="106" applyNumberFormat="0" applyAlignment="0" applyProtection="0"/>
    <xf numFmtId="0" fontId="49" fillId="35" borderId="100" applyNumberFormat="0" applyAlignment="0" applyProtection="0"/>
    <xf numFmtId="0" fontId="5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67" fillId="64" borderId="0" applyNumberFormat="0" applyBorder="0" applyAlignment="0" applyProtection="0"/>
    <xf numFmtId="0" fontId="48" fillId="33" borderId="0" applyNumberFormat="0" applyBorder="0" applyAlignment="0" applyProtection="0"/>
    <xf numFmtId="174" fontId="6" fillId="0" borderId="0" applyFont="0" applyFill="0" applyBorder="0" applyAlignment="0" applyProtection="0"/>
    <xf numFmtId="176" fontId="6" fillId="0" borderId="0" applyFont="0" applyFill="0" applyBorder="0" applyAlignment="0" applyProtection="0"/>
    <xf numFmtId="175" fontId="60" fillId="0" borderId="0" applyFont="0" applyFill="0" applyBorder="0" applyAlignment="0" applyProtection="0"/>
    <xf numFmtId="0" fontId="68" fillId="83" borderId="0" applyNumberFormat="0" applyBorder="0" applyAlignment="0" applyProtection="0"/>
    <xf numFmtId="0" fontId="58" fillId="34" borderId="0" applyNumberFormat="0" applyBorder="0" applyAlignment="0" applyProtection="0"/>
    <xf numFmtId="0" fontId="3" fillId="0" borderId="0"/>
    <xf numFmtId="3" fontId="6" fillId="0" borderId="0">
      <alignment vertical="center"/>
    </xf>
    <xf numFmtId="0" fontId="6" fillId="0" borderId="0"/>
    <xf numFmtId="0" fontId="6" fillId="0" borderId="0"/>
    <xf numFmtId="0" fontId="6" fillId="0" borderId="0"/>
    <xf numFmtId="0" fontId="6" fillId="0" borderId="0"/>
    <xf numFmtId="0" fontId="6" fillId="0" borderId="0"/>
    <xf numFmtId="0" fontId="6" fillId="84" borderId="111" applyNumberFormat="0" applyFont="0" applyAlignment="0" applyProtection="0"/>
    <xf numFmtId="0" fontId="3" fillId="38" borderId="104" applyNumberFormat="0" applyFont="0" applyAlignment="0" applyProtection="0"/>
    <xf numFmtId="0" fontId="69" fillId="77" borderId="112" applyNumberFormat="0" applyAlignment="0" applyProtection="0"/>
    <xf numFmtId="0" fontId="50" fillId="36" borderId="101" applyNumberFormat="0" applyAlignment="0" applyProtection="0"/>
    <xf numFmtId="0" fontId="70" fillId="0" borderId="0" applyNumberFormat="0" applyFill="0" applyBorder="0" applyAlignment="0" applyProtection="0"/>
    <xf numFmtId="0" fontId="24" fillId="0" borderId="0" applyNumberFormat="0" applyFill="0" applyBorder="0" applyAlignment="0" applyProtection="0"/>
    <xf numFmtId="0" fontId="71" fillId="0" borderId="0" applyNumberFormat="0" applyFill="0" applyBorder="0" applyAlignment="0" applyProtection="0"/>
    <xf numFmtId="0" fontId="54" fillId="0" borderId="0" applyNumberFormat="0" applyFill="0" applyBorder="0" applyAlignment="0" applyProtection="0"/>
    <xf numFmtId="0" fontId="72" fillId="0" borderId="0" applyNumberFormat="0" applyFill="0" applyBorder="0" applyAlignment="0" applyProtection="0"/>
    <xf numFmtId="0" fontId="73" fillId="0" borderId="110" applyNumberFormat="0" applyFill="0" applyAlignment="0" applyProtection="0"/>
    <xf numFmtId="0" fontId="74" fillId="0" borderId="113" applyNumberFormat="0" applyFill="0" applyAlignment="0" applyProtection="0"/>
    <xf numFmtId="0" fontId="45" fillId="0" borderId="98" applyNumberFormat="0" applyFill="0" applyAlignment="0" applyProtection="0"/>
    <xf numFmtId="0" fontId="65" fillId="0" borderId="114" applyNumberFormat="0" applyFill="0" applyAlignment="0" applyProtection="0"/>
    <xf numFmtId="0" fontId="46" fillId="0" borderId="99" applyNumberFormat="0" applyFill="0" applyAlignment="0" applyProtection="0"/>
    <xf numFmtId="0" fontId="59" fillId="0" borderId="0" applyNumberFormat="0" applyFill="0" applyBorder="0" applyAlignment="0" applyProtection="0"/>
    <xf numFmtId="0" fontId="75" fillId="0" borderId="115" applyNumberFormat="0" applyFill="0" applyAlignment="0" applyProtection="0"/>
    <xf numFmtId="0" fontId="4" fillId="0" borderId="105" applyNumberFormat="0" applyFill="0" applyAlignment="0" applyProtection="0"/>
    <xf numFmtId="43" fontId="3" fillId="0" borderId="0" applyFont="0" applyFill="0" applyBorder="0" applyAlignment="0" applyProtection="0"/>
  </cellStyleXfs>
  <cellXfs count="1822">
    <xf numFmtId="0" fontId="0" fillId="0" borderId="0" xfId="0"/>
    <xf numFmtId="0" fontId="2" fillId="2" borderId="1" xfId="0" applyFont="1" applyFill="1" applyBorder="1"/>
    <xf numFmtId="0" fontId="2" fillId="2" borderId="5" xfId="0" applyFont="1" applyFill="1" applyBorder="1"/>
    <xf numFmtId="166" fontId="0" fillId="0" borderId="1" xfId="0" applyNumberFormat="1" applyBorder="1" applyAlignment="1">
      <alignment horizontal="center"/>
    </xf>
    <xf numFmtId="0" fontId="0" fillId="0" borderId="4" xfId="0" applyBorder="1" applyAlignment="1">
      <alignment horizontal="center"/>
    </xf>
    <xf numFmtId="0" fontId="0" fillId="0" borderId="6" xfId="0" applyBorder="1" applyAlignment="1">
      <alignment horizontal="center"/>
    </xf>
    <xf numFmtId="166" fontId="2" fillId="2" borderId="12" xfId="0" applyNumberFormat="1" applyFont="1" applyFill="1" applyBorder="1" applyAlignment="1">
      <alignment horizontal="center"/>
    </xf>
    <xf numFmtId="166" fontId="2" fillId="2" borderId="13" xfId="0" applyNumberFormat="1" applyFont="1" applyFill="1" applyBorder="1" applyAlignment="1">
      <alignment horizontal="center"/>
    </xf>
    <xf numFmtId="0" fontId="2" fillId="2" borderId="1" xfId="0" applyFont="1" applyFill="1" applyBorder="1" applyAlignment="1">
      <alignment horizontal="center"/>
    </xf>
    <xf numFmtId="0" fontId="2" fillId="2" borderId="15" xfId="0" applyFont="1" applyFill="1" applyBorder="1"/>
    <xf numFmtId="0" fontId="2" fillId="2" borderId="5" xfId="0" applyFont="1" applyFill="1" applyBorder="1" applyAlignment="1">
      <alignment horizontal="center"/>
    </xf>
    <xf numFmtId="0" fontId="2" fillId="2" borderId="16" xfId="0" applyFont="1" applyFill="1" applyBorder="1"/>
    <xf numFmtId="0" fontId="2" fillId="2" borderId="16" xfId="0" applyFont="1" applyFill="1" applyBorder="1" applyAlignment="1">
      <alignment horizontal="center"/>
    </xf>
    <xf numFmtId="166" fontId="2" fillId="2" borderId="19" xfId="0" applyNumberFormat="1" applyFont="1" applyFill="1" applyBorder="1" applyAlignment="1">
      <alignment horizontal="center"/>
    </xf>
    <xf numFmtId="2" fontId="0" fillId="0" borderId="1" xfId="0" applyNumberFormat="1" applyBorder="1" applyAlignment="1">
      <alignment horizontal="center"/>
    </xf>
    <xf numFmtId="0" fontId="0" fillId="0" borderId="4" xfId="0" applyBorder="1"/>
    <xf numFmtId="2" fontId="0" fillId="0" borderId="5" xfId="0" applyNumberFormat="1" applyBorder="1" applyAlignment="1">
      <alignment horizontal="center"/>
    </xf>
    <xf numFmtId="0" fontId="0" fillId="0" borderId="6" xfId="0" applyBorder="1"/>
    <xf numFmtId="0" fontId="2" fillId="2" borderId="21" xfId="0" applyFont="1" applyFill="1" applyBorder="1" applyAlignment="1">
      <alignment horizontal="center"/>
    </xf>
    <xf numFmtId="166" fontId="0" fillId="0" borderId="22" xfId="0" applyNumberFormat="1" applyBorder="1" applyAlignment="1">
      <alignment horizontal="center"/>
    </xf>
    <xf numFmtId="2" fontId="0" fillId="0" borderId="16" xfId="0" applyNumberFormat="1" applyBorder="1" applyAlignment="1">
      <alignment horizontal="center"/>
    </xf>
    <xf numFmtId="0" fontId="0" fillId="0" borderId="3" xfId="0" applyBorder="1"/>
    <xf numFmtId="0" fontId="0" fillId="0" borderId="3" xfId="0" applyBorder="1" applyAlignment="1">
      <alignment horizontal="center"/>
    </xf>
    <xf numFmtId="0" fontId="0" fillId="0" borderId="14" xfId="0" applyBorder="1" applyAlignment="1">
      <alignment horizontal="center"/>
    </xf>
    <xf numFmtId="166" fontId="0" fillId="0" borderId="5" xfId="0" applyNumberFormat="1" applyBorder="1" applyAlignment="1">
      <alignment horizontal="center"/>
    </xf>
    <xf numFmtId="166" fontId="0" fillId="0" borderId="16" xfId="0" applyNumberFormat="1" applyBorder="1" applyAlignment="1">
      <alignment horizontal="center"/>
    </xf>
    <xf numFmtId="2" fontId="0" fillId="0" borderId="4" xfId="0" applyNumberFormat="1" applyBorder="1" applyAlignment="1">
      <alignment horizontal="center"/>
    </xf>
    <xf numFmtId="2" fontId="0" fillId="0" borderId="6" xfId="0" applyNumberFormat="1" applyBorder="1" applyAlignment="1">
      <alignment horizontal="center"/>
    </xf>
    <xf numFmtId="166" fontId="0" fillId="0" borderId="4" xfId="0" applyNumberFormat="1" applyBorder="1" applyAlignment="1">
      <alignment horizontal="center"/>
    </xf>
    <xf numFmtId="166" fontId="0" fillId="0" borderId="6" xfId="0" applyNumberFormat="1" applyBorder="1" applyAlignment="1">
      <alignment horizontal="center"/>
    </xf>
    <xf numFmtId="166" fontId="0" fillId="0" borderId="3" xfId="0" applyNumberFormat="1" applyBorder="1" applyAlignment="1">
      <alignment horizontal="center"/>
    </xf>
    <xf numFmtId="166" fontId="0" fillId="0" borderId="14" xfId="0" applyNumberFormat="1" applyBorder="1" applyAlignment="1">
      <alignment horizontal="center"/>
    </xf>
    <xf numFmtId="0" fontId="0" fillId="0" borderId="11" xfId="0" applyBorder="1"/>
    <xf numFmtId="2" fontId="0" fillId="0" borderId="3" xfId="0" applyNumberFormat="1" applyBorder="1"/>
    <xf numFmtId="2" fontId="0" fillId="0" borderId="6" xfId="0" applyNumberFormat="1" applyBorder="1"/>
    <xf numFmtId="2" fontId="2" fillId="2" borderId="3" xfId="0" applyNumberFormat="1" applyFont="1" applyFill="1" applyBorder="1" applyAlignment="1">
      <alignment horizontal="center"/>
    </xf>
    <xf numFmtId="2" fontId="2" fillId="2" borderId="4" xfId="0" applyNumberFormat="1" applyFont="1" applyFill="1" applyBorder="1" applyAlignment="1">
      <alignment horizontal="center"/>
    </xf>
    <xf numFmtId="2" fontId="2" fillId="2" borderId="6" xfId="0" applyNumberFormat="1" applyFont="1" applyFill="1" applyBorder="1" applyAlignment="1">
      <alignment horizontal="center"/>
    </xf>
    <xf numFmtId="3" fontId="7" fillId="3" borderId="4" xfId="3" applyNumberFormat="1" applyFont="1" applyFill="1" applyBorder="1" applyAlignment="1">
      <alignment horizontal="center"/>
    </xf>
    <xf numFmtId="3" fontId="7" fillId="3" borderId="6" xfId="3" applyNumberFormat="1" applyFont="1" applyFill="1" applyBorder="1" applyAlignment="1">
      <alignment horizontal="center"/>
    </xf>
    <xf numFmtId="3" fontId="7" fillId="3" borderId="3" xfId="3" applyNumberFormat="1" applyFont="1" applyFill="1" applyBorder="1" applyAlignment="1">
      <alignment horizontal="center"/>
    </xf>
    <xf numFmtId="0" fontId="0" fillId="0" borderId="0" xfId="0" applyAlignment="1">
      <alignment wrapText="1"/>
    </xf>
    <xf numFmtId="3" fontId="0" fillId="0" borderId="4" xfId="0" applyNumberFormat="1" applyBorder="1" applyAlignment="1">
      <alignment horizontal="center"/>
    </xf>
    <xf numFmtId="3" fontId="0" fillId="0" borderId="6" xfId="0" applyNumberFormat="1" applyBorder="1" applyAlignment="1">
      <alignment horizontal="center"/>
    </xf>
    <xf numFmtId="3" fontId="0" fillId="0" borderId="3" xfId="0" applyNumberFormat="1" applyBorder="1" applyAlignment="1">
      <alignment horizontal="center"/>
    </xf>
    <xf numFmtId="0" fontId="0" fillId="0" borderId="27" xfId="0" applyBorder="1" applyAlignment="1">
      <alignment horizontal="center"/>
    </xf>
    <xf numFmtId="3" fontId="0" fillId="0" borderId="1" xfId="0" applyNumberFormat="1" applyBorder="1" applyAlignment="1">
      <alignment horizontal="center" vertical="center"/>
    </xf>
    <xf numFmtId="3" fontId="0" fillId="0" borderId="5" xfId="0" applyNumberFormat="1" applyBorder="1" applyAlignment="1">
      <alignment horizontal="center" vertical="center"/>
    </xf>
    <xf numFmtId="9" fontId="0" fillId="0" borderId="1" xfId="2" applyFont="1" applyBorder="1" applyAlignment="1">
      <alignment horizontal="center"/>
    </xf>
    <xf numFmtId="9" fontId="0" fillId="0" borderId="5" xfId="2" applyFont="1" applyBorder="1" applyAlignment="1">
      <alignment horizontal="center"/>
    </xf>
    <xf numFmtId="10" fontId="0" fillId="0" borderId="26" xfId="2" applyNumberFormat="1" applyFont="1" applyBorder="1" applyAlignment="1">
      <alignment horizontal="center"/>
    </xf>
    <xf numFmtId="0" fontId="0" fillId="0" borderId="10" xfId="0" applyBorder="1"/>
    <xf numFmtId="167" fontId="0" fillId="0" borderId="4" xfId="1" applyNumberFormat="1" applyFont="1" applyBorder="1"/>
    <xf numFmtId="167" fontId="0" fillId="0" borderId="6" xfId="1" applyNumberFormat="1" applyFont="1" applyBorder="1"/>
    <xf numFmtId="167" fontId="0" fillId="0" borderId="18" xfId="0" applyNumberFormat="1" applyBorder="1"/>
    <xf numFmtId="0" fontId="0" fillId="0" borderId="1" xfId="0" applyBorder="1"/>
    <xf numFmtId="2" fontId="0" fillId="0" borderId="18" xfId="0" applyNumberFormat="1" applyBorder="1"/>
    <xf numFmtId="2" fontId="2" fillId="2" borderId="1" xfId="0" applyNumberFormat="1" applyFont="1" applyFill="1" applyBorder="1" applyAlignment="1">
      <alignment horizontal="center"/>
    </xf>
    <xf numFmtId="0" fontId="0" fillId="0" borderId="12" xfId="0" applyBorder="1" applyAlignment="1">
      <alignment horizontal="center"/>
    </xf>
    <xf numFmtId="0" fontId="0" fillId="0" borderId="19" xfId="0" applyBorder="1" applyAlignment="1">
      <alignment horizontal="center"/>
    </xf>
    <xf numFmtId="2" fontId="2" fillId="2" borderId="16" xfId="0" applyNumberFormat="1" applyFont="1" applyFill="1" applyBorder="1" applyAlignment="1">
      <alignment horizontal="center"/>
    </xf>
    <xf numFmtId="2" fontId="0" fillId="0" borderId="3" xfId="0" applyNumberFormat="1" applyBorder="1" applyAlignment="1">
      <alignment horizontal="center"/>
    </xf>
    <xf numFmtId="2" fontId="2" fillId="2" borderId="5" xfId="0" applyNumberFormat="1" applyFont="1" applyFill="1" applyBorder="1" applyAlignment="1">
      <alignment horizontal="center"/>
    </xf>
    <xf numFmtId="2" fontId="0" fillId="0" borderId="14" xfId="0" applyNumberFormat="1" applyBorder="1" applyAlignment="1">
      <alignment horizontal="center"/>
    </xf>
    <xf numFmtId="0" fontId="0" fillId="0" borderId="32" xfId="0" applyBorder="1" applyAlignment="1">
      <alignment horizontal="center"/>
    </xf>
    <xf numFmtId="166" fontId="0" fillId="0" borderId="0" xfId="0" applyNumberFormat="1"/>
    <xf numFmtId="0" fontId="2" fillId="2" borderId="1" xfId="0" applyFont="1" applyFill="1" applyBorder="1" applyAlignment="1">
      <alignment horizontal="left"/>
    </xf>
    <xf numFmtId="2" fontId="0" fillId="0" borderId="0" xfId="0" applyNumberFormat="1"/>
    <xf numFmtId="0" fontId="4" fillId="0" borderId="0" xfId="0" applyFont="1" applyAlignment="1">
      <alignment horizontal="center"/>
    </xf>
    <xf numFmtId="0" fontId="2" fillId="2" borderId="5" xfId="0" applyFont="1" applyFill="1" applyBorder="1" applyAlignment="1">
      <alignment horizontal="left"/>
    </xf>
    <xf numFmtId="0" fontId="2" fillId="2" borderId="15" xfId="0" applyFont="1" applyFill="1" applyBorder="1" applyAlignment="1">
      <alignment horizontal="left"/>
    </xf>
    <xf numFmtId="166" fontId="0" fillId="0" borderId="27" xfId="0" applyNumberFormat="1" applyBorder="1" applyAlignment="1">
      <alignment horizontal="center"/>
    </xf>
    <xf numFmtId="0" fontId="2" fillId="2" borderId="16" xfId="0" applyFont="1" applyFill="1" applyBorder="1" applyAlignment="1">
      <alignment horizontal="left"/>
    </xf>
    <xf numFmtId="9" fontId="0" fillId="0" borderId="1" xfId="2" applyFont="1" applyBorder="1" applyAlignment="1">
      <alignment horizontal="center" vertical="center"/>
    </xf>
    <xf numFmtId="9" fontId="0" fillId="0" borderId="5" xfId="2" applyFont="1" applyBorder="1" applyAlignment="1">
      <alignment horizontal="center" vertical="center"/>
    </xf>
    <xf numFmtId="9" fontId="0" fillId="0" borderId="16" xfId="2" applyFont="1" applyBorder="1" applyAlignment="1">
      <alignment horizontal="center" vertical="center"/>
    </xf>
    <xf numFmtId="3" fontId="0" fillId="0" borderId="19" xfId="0" applyNumberFormat="1" applyBorder="1" applyAlignment="1">
      <alignment horizontal="center" vertical="center"/>
    </xf>
    <xf numFmtId="3" fontId="0" fillId="0" borderId="12" xfId="0" applyNumberFormat="1" applyBorder="1" applyAlignment="1">
      <alignment horizontal="center" vertical="center"/>
    </xf>
    <xf numFmtId="3" fontId="0" fillId="0" borderId="13" xfId="0" applyNumberFormat="1" applyBorder="1" applyAlignment="1">
      <alignment horizontal="center" vertical="center"/>
    </xf>
    <xf numFmtId="0" fontId="8" fillId="0" borderId="21" xfId="0" applyFont="1" applyBorder="1" applyAlignment="1">
      <alignment horizontal="center" vertical="center"/>
    </xf>
    <xf numFmtId="0" fontId="8" fillId="0" borderId="22" xfId="0" applyFont="1" applyBorder="1" applyAlignment="1">
      <alignment horizontal="center" vertical="center"/>
    </xf>
    <xf numFmtId="3" fontId="8" fillId="0" borderId="22" xfId="0" applyNumberFormat="1" applyFont="1" applyBorder="1" applyAlignment="1">
      <alignment horizontal="center" vertical="center"/>
    </xf>
    <xf numFmtId="10" fontId="8" fillId="0" borderId="22" xfId="0" applyNumberFormat="1" applyFont="1" applyBorder="1" applyAlignment="1">
      <alignment horizontal="center" vertical="center"/>
    </xf>
    <xf numFmtId="0" fontId="8" fillId="0" borderId="0" xfId="0" applyFont="1" applyAlignment="1">
      <alignment vertical="center"/>
    </xf>
    <xf numFmtId="0" fontId="11" fillId="0" borderId="0" xfId="0" applyFont="1"/>
    <xf numFmtId="0" fontId="1" fillId="5" borderId="2" xfId="0" applyFont="1" applyFill="1" applyBorder="1" applyAlignment="1">
      <alignment horizontal="center" vertical="center"/>
    </xf>
    <xf numFmtId="0" fontId="1" fillId="5" borderId="16" xfId="0" applyFont="1" applyFill="1" applyBorder="1" applyAlignment="1">
      <alignment horizontal="center" vertical="center"/>
    </xf>
    <xf numFmtId="0" fontId="1" fillId="5" borderId="17" xfId="0" applyFont="1" applyFill="1" applyBorder="1" applyAlignment="1">
      <alignment horizontal="center"/>
    </xf>
    <xf numFmtId="0" fontId="1" fillId="5" borderId="17" xfId="0" applyFont="1" applyFill="1" applyBorder="1"/>
    <xf numFmtId="0" fontId="1" fillId="5" borderId="26" xfId="0" applyFont="1" applyFill="1" applyBorder="1" applyAlignment="1">
      <alignment horizontal="center" vertical="center" wrapText="1"/>
    </xf>
    <xf numFmtId="0" fontId="1" fillId="5" borderId="28" xfId="0" applyFont="1" applyFill="1" applyBorder="1" applyAlignment="1">
      <alignment horizontal="center" vertical="center"/>
    </xf>
    <xf numFmtId="0" fontId="1" fillId="5" borderId="29" xfId="0" applyFont="1" applyFill="1" applyBorder="1" applyAlignment="1">
      <alignment horizontal="center" vertical="center"/>
    </xf>
    <xf numFmtId="0" fontId="1" fillId="5" borderId="31" xfId="0" applyFont="1" applyFill="1" applyBorder="1" applyAlignment="1">
      <alignment horizontal="center" vertical="center" wrapText="1"/>
    </xf>
    <xf numFmtId="0" fontId="1" fillId="5" borderId="30" xfId="0" applyFont="1" applyFill="1" applyBorder="1" applyAlignment="1">
      <alignment horizontal="center" vertical="center"/>
    </xf>
    <xf numFmtId="0" fontId="1" fillId="5" borderId="19" xfId="0" applyFont="1" applyFill="1" applyBorder="1" applyAlignment="1">
      <alignment horizontal="center" vertical="center" wrapText="1"/>
    </xf>
    <xf numFmtId="0" fontId="1" fillId="5" borderId="3" xfId="0" applyFont="1" applyFill="1" applyBorder="1" applyAlignment="1">
      <alignment horizontal="center" vertical="center"/>
    </xf>
    <xf numFmtId="0" fontId="1" fillId="5" borderId="26" xfId="0" applyFont="1" applyFill="1" applyBorder="1" applyAlignment="1">
      <alignment horizontal="center" vertical="center"/>
    </xf>
    <xf numFmtId="0" fontId="1" fillId="5" borderId="25" xfId="0" applyFont="1" applyFill="1" applyBorder="1" applyAlignment="1">
      <alignment horizontal="center" vertical="center" wrapText="1"/>
    </xf>
    <xf numFmtId="0" fontId="5" fillId="5" borderId="7" xfId="0" applyFont="1" applyFill="1" applyBorder="1" applyAlignment="1">
      <alignment horizontal="center"/>
    </xf>
    <xf numFmtId="0" fontId="0" fillId="5" borderId="10" xfId="0" applyFill="1" applyBorder="1"/>
    <xf numFmtId="0" fontId="0" fillId="5" borderId="11" xfId="0" applyFill="1" applyBorder="1"/>
    <xf numFmtId="0" fontId="5" fillId="5" borderId="8" xfId="0" applyFont="1" applyFill="1" applyBorder="1" applyAlignment="1">
      <alignment horizontal="center"/>
    </xf>
    <xf numFmtId="0" fontId="5" fillId="5" borderId="9" xfId="0" applyFont="1" applyFill="1" applyBorder="1" applyAlignment="1">
      <alignment horizontal="center"/>
    </xf>
    <xf numFmtId="0" fontId="0" fillId="5" borderId="1" xfId="0" applyFill="1" applyBorder="1"/>
    <xf numFmtId="0" fontId="4" fillId="5" borderId="16" xfId="0" applyFont="1" applyFill="1" applyBorder="1" applyAlignment="1">
      <alignment horizontal="center"/>
    </xf>
    <xf numFmtId="0" fontId="0" fillId="5" borderId="23" xfId="0" applyFill="1" applyBorder="1"/>
    <xf numFmtId="0" fontId="0" fillId="5" borderId="24" xfId="0" applyFill="1" applyBorder="1"/>
    <xf numFmtId="0" fontId="0" fillId="5" borderId="18" xfId="0" applyFill="1" applyBorder="1"/>
    <xf numFmtId="0" fontId="0" fillId="6" borderId="0" xfId="0" applyFill="1"/>
    <xf numFmtId="0" fontId="11" fillId="6" borderId="0" xfId="0" applyFont="1" applyFill="1"/>
    <xf numFmtId="0" fontId="7" fillId="6" borderId="0" xfId="0" applyFont="1" applyFill="1"/>
    <xf numFmtId="0" fontId="12" fillId="6" borderId="32" xfId="3" applyFont="1" applyFill="1" applyBorder="1"/>
    <xf numFmtId="0" fontId="13" fillId="6" borderId="0" xfId="3" applyFont="1" applyFill="1"/>
    <xf numFmtId="0" fontId="14" fillId="6" borderId="0" xfId="0" applyFont="1" applyFill="1"/>
    <xf numFmtId="0" fontId="15" fillId="6" borderId="0" xfId="0" applyFont="1" applyFill="1"/>
    <xf numFmtId="0" fontId="16" fillId="6" borderId="0" xfId="0" applyFont="1" applyFill="1"/>
    <xf numFmtId="0" fontId="13" fillId="6" borderId="0" xfId="0" applyFont="1" applyFill="1"/>
    <xf numFmtId="0" fontId="14" fillId="6" borderId="0" xfId="4" applyFont="1" applyFill="1"/>
    <xf numFmtId="0" fontId="0" fillId="0" borderId="0" xfId="0" applyAlignment="1">
      <alignment horizontal="center"/>
    </xf>
    <xf numFmtId="0" fontId="4" fillId="0" borderId="0" xfId="0" applyFont="1"/>
    <xf numFmtId="9" fontId="0" fillId="0" borderId="1" xfId="0" applyNumberFormat="1" applyBorder="1" applyAlignment="1">
      <alignment horizontal="center"/>
    </xf>
    <xf numFmtId="0" fontId="18" fillId="0" borderId="0" xfId="0" applyFont="1"/>
    <xf numFmtId="0" fontId="19" fillId="0" borderId="0" xfId="0" applyFont="1" applyAlignment="1">
      <alignment horizontal="center"/>
    </xf>
    <xf numFmtId="0" fontId="3" fillId="0" borderId="0" xfId="0" applyFont="1"/>
    <xf numFmtId="0" fontId="0" fillId="0" borderId="10" xfId="0" applyBorder="1" applyAlignment="1">
      <alignment horizontal="left"/>
    </xf>
    <xf numFmtId="0" fontId="0" fillId="0" borderId="11" xfId="0" applyBorder="1" applyAlignment="1">
      <alignment horizontal="left"/>
    </xf>
    <xf numFmtId="0" fontId="4" fillId="7" borderId="0" xfId="0" applyFont="1" applyFill="1" applyAlignment="1">
      <alignment horizontal="center"/>
    </xf>
    <xf numFmtId="0" fontId="0" fillId="7" borderId="0" xfId="0" applyFill="1" applyAlignment="1">
      <alignment horizontal="center"/>
    </xf>
    <xf numFmtId="0" fontId="0" fillId="0" borderId="2" xfId="0" applyBorder="1"/>
    <xf numFmtId="1" fontId="0" fillId="0" borderId="5" xfId="0" applyNumberFormat="1" applyBorder="1" applyAlignment="1">
      <alignment horizontal="center"/>
    </xf>
    <xf numFmtId="0" fontId="0" fillId="0" borderId="20" xfId="0" applyBorder="1"/>
    <xf numFmtId="0" fontId="0" fillId="0" borderId="15" xfId="0" applyBorder="1" applyAlignment="1">
      <alignment horizontal="center"/>
    </xf>
    <xf numFmtId="0" fontId="0" fillId="0" borderId="20" xfId="0" applyBorder="1" applyAlignment="1">
      <alignment horizontal="left"/>
    </xf>
    <xf numFmtId="0" fontId="4" fillId="5" borderId="6" xfId="0" applyFont="1" applyFill="1" applyBorder="1" applyAlignment="1">
      <alignment horizontal="center" vertical="center"/>
    </xf>
    <xf numFmtId="0" fontId="19" fillId="0" borderId="0" xfId="0" applyFont="1"/>
    <xf numFmtId="0" fontId="0" fillId="0" borderId="45" xfId="0" applyBorder="1"/>
    <xf numFmtId="0" fontId="0" fillId="0" borderId="10" xfId="0" quotePrefix="1" applyBorder="1" applyAlignment="1">
      <alignment horizontal="left"/>
    </xf>
    <xf numFmtId="0" fontId="0" fillId="0" borderId="43" xfId="0" applyBorder="1"/>
    <xf numFmtId="0" fontId="0" fillId="0" borderId="22" xfId="0" applyBorder="1"/>
    <xf numFmtId="0" fontId="0" fillId="0" borderId="44" xfId="0" applyBorder="1" applyAlignment="1">
      <alignment horizontal="center"/>
    </xf>
    <xf numFmtId="0" fontId="0" fillId="0" borderId="0" xfId="0" applyAlignment="1">
      <alignment horizontal="left"/>
    </xf>
    <xf numFmtId="10" fontId="0" fillId="0" borderId="1" xfId="0" applyNumberFormat="1" applyBorder="1" applyAlignment="1">
      <alignment horizontal="center"/>
    </xf>
    <xf numFmtId="168" fontId="0" fillId="0" borderId="1" xfId="0" applyNumberFormat="1" applyBorder="1" applyAlignment="1">
      <alignment horizontal="center"/>
    </xf>
    <xf numFmtId="0" fontId="0" fillId="0" borderId="2" xfId="0" applyBorder="1" applyAlignment="1">
      <alignment horizontal="left" vertical="center"/>
    </xf>
    <xf numFmtId="0" fontId="0" fillId="0" borderId="10" xfId="0" applyBorder="1" applyAlignment="1">
      <alignment horizontal="left" vertical="center"/>
    </xf>
    <xf numFmtId="0" fontId="0" fillId="10" borderId="1" xfId="0" applyFill="1" applyBorder="1" applyAlignment="1">
      <alignment horizontal="center" vertical="center"/>
    </xf>
    <xf numFmtId="0" fontId="0" fillId="9" borderId="11" xfId="0" applyFill="1" applyBorder="1" applyAlignment="1">
      <alignment horizontal="left" vertical="center"/>
    </xf>
    <xf numFmtId="0" fontId="0" fillId="9" borderId="5" xfId="0" applyFill="1" applyBorder="1" applyAlignment="1">
      <alignment horizontal="center" vertical="center"/>
    </xf>
    <xf numFmtId="0" fontId="0" fillId="9" borderId="6" xfId="0" applyFill="1" applyBorder="1" applyAlignment="1">
      <alignment horizontal="center" vertical="center"/>
    </xf>
    <xf numFmtId="0" fontId="0" fillId="11" borderId="51" xfId="0" applyFill="1" applyBorder="1" applyAlignment="1">
      <alignment horizontal="center" vertical="center"/>
    </xf>
    <xf numFmtId="0" fontId="0" fillId="11" borderId="26" xfId="0" applyFill="1" applyBorder="1" applyAlignment="1">
      <alignment horizontal="center" vertical="center"/>
    </xf>
    <xf numFmtId="0" fontId="0" fillId="0" borderId="26" xfId="0" applyBorder="1" applyAlignment="1">
      <alignment horizontal="center"/>
    </xf>
    <xf numFmtId="0" fontId="0" fillId="0" borderId="0" xfId="0" quotePrefix="1" applyAlignment="1">
      <alignment horizontal="center"/>
    </xf>
    <xf numFmtId="0" fontId="0" fillId="0" borderId="44" xfId="0" applyBorder="1"/>
    <xf numFmtId="0" fontId="0" fillId="0" borderId="44" xfId="0" quotePrefix="1" applyBorder="1"/>
    <xf numFmtId="0" fontId="0" fillId="0" borderId="42" xfId="0" quotePrefix="1" applyBorder="1"/>
    <xf numFmtId="0" fontId="22" fillId="0" borderId="0" xfId="0" quotePrefix="1" applyFont="1" applyAlignment="1">
      <alignment horizontal="center"/>
    </xf>
    <xf numFmtId="0" fontId="0" fillId="0" borderId="2" xfId="0" applyBorder="1" applyAlignment="1">
      <alignment horizontal="left"/>
    </xf>
    <xf numFmtId="0" fontId="0" fillId="0" borderId="51" xfId="0" applyBorder="1" applyAlignment="1">
      <alignment horizontal="center"/>
    </xf>
    <xf numFmtId="10" fontId="0" fillId="0" borderId="5" xfId="0" applyNumberFormat="1" applyBorder="1" applyAlignment="1">
      <alignment horizontal="center"/>
    </xf>
    <xf numFmtId="165" fontId="0" fillId="0" borderId="1" xfId="1" applyFont="1" applyBorder="1" applyAlignment="1">
      <alignment horizontal="center" vertical="center"/>
    </xf>
    <xf numFmtId="0" fontId="0" fillId="0" borderId="0" xfId="0" applyAlignment="1">
      <alignment horizontal="center" vertical="center"/>
    </xf>
    <xf numFmtId="0" fontId="0" fillId="0" borderId="0" xfId="0" applyAlignment="1">
      <alignment vertical="center"/>
    </xf>
    <xf numFmtId="0" fontId="0" fillId="0" borderId="0" xfId="0" applyAlignment="1">
      <alignment horizontal="left" vertical="center"/>
    </xf>
    <xf numFmtId="165" fontId="0" fillId="0" borderId="1" xfId="1" applyFont="1" applyFill="1" applyBorder="1" applyAlignment="1">
      <alignment horizontal="center" vertical="center"/>
    </xf>
    <xf numFmtId="165" fontId="0" fillId="0" borderId="1" xfId="1" applyFont="1" applyBorder="1" applyAlignment="1">
      <alignment vertical="center"/>
    </xf>
    <xf numFmtId="165" fontId="0" fillId="0" borderId="1" xfId="0" applyNumberFormat="1" applyBorder="1" applyAlignment="1">
      <alignment vertical="center"/>
    </xf>
    <xf numFmtId="10" fontId="0" fillId="0" borderId="54" xfId="0" applyNumberFormat="1" applyBorder="1" applyAlignment="1">
      <alignment horizontal="center" vertical="center"/>
    </xf>
    <xf numFmtId="9" fontId="0" fillId="0" borderId="49" xfId="0" applyNumberFormat="1" applyBorder="1" applyAlignment="1">
      <alignment horizontal="center" vertical="center"/>
    </xf>
    <xf numFmtId="0" fontId="0" fillId="0" borderId="50" xfId="0" applyBorder="1" applyAlignment="1">
      <alignment horizontal="center" vertical="center"/>
    </xf>
    <xf numFmtId="165" fontId="0" fillId="0" borderId="40" xfId="1" applyFont="1" applyBorder="1" applyAlignment="1">
      <alignment horizontal="center" vertical="center"/>
    </xf>
    <xf numFmtId="10" fontId="4" fillId="0" borderId="1" xfId="2" applyNumberFormat="1" applyFont="1" applyFill="1" applyBorder="1" applyAlignment="1">
      <alignment horizontal="center" vertical="center" wrapText="1"/>
    </xf>
    <xf numFmtId="0" fontId="4" fillId="0" borderId="15" xfId="0" applyFont="1" applyBorder="1" applyAlignment="1">
      <alignment horizontal="center" vertical="center"/>
    </xf>
    <xf numFmtId="0" fontId="4" fillId="0" borderId="53" xfId="0" applyFont="1" applyBorder="1" applyAlignment="1">
      <alignment horizontal="center" vertical="center"/>
    </xf>
    <xf numFmtId="0" fontId="4" fillId="0" borderId="27" xfId="0" applyFont="1" applyBorder="1" applyAlignment="1">
      <alignment horizontal="center" vertical="center"/>
    </xf>
    <xf numFmtId="0" fontId="4" fillId="0" borderId="56" xfId="0" applyFont="1" applyBorder="1" applyAlignment="1">
      <alignment horizontal="center" vertical="center"/>
    </xf>
    <xf numFmtId="0" fontId="4" fillId="0" borderId="56" xfId="0" applyFont="1" applyBorder="1" applyAlignment="1">
      <alignment vertical="center"/>
    </xf>
    <xf numFmtId="0" fontId="4" fillId="15" borderId="57" xfId="0" applyFont="1" applyFill="1" applyBorder="1" applyAlignment="1">
      <alignment horizontal="center" vertical="center"/>
    </xf>
    <xf numFmtId="165" fontId="0" fillId="0" borderId="5" xfId="1" applyFont="1" applyBorder="1" applyAlignment="1">
      <alignment horizontal="center"/>
    </xf>
    <xf numFmtId="0" fontId="0" fillId="5" borderId="2" xfId="0" applyFill="1" applyBorder="1"/>
    <xf numFmtId="0" fontId="23" fillId="0" borderId="0" xfId="0" applyFont="1" applyAlignment="1">
      <alignment wrapText="1"/>
    </xf>
    <xf numFmtId="0" fontId="0" fillId="0" borderId="20"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24" fillId="0" borderId="0" xfId="0" applyFont="1"/>
    <xf numFmtId="3" fontId="0" fillId="0" borderId="0" xfId="0" applyNumberFormat="1"/>
    <xf numFmtId="0" fontId="19" fillId="0" borderId="1" xfId="0" applyFont="1" applyBorder="1" applyAlignment="1">
      <alignment horizontal="center"/>
    </xf>
    <xf numFmtId="3" fontId="19" fillId="0" borderId="1" xfId="0" applyNumberFormat="1" applyFont="1" applyBorder="1" applyAlignment="1">
      <alignment horizontal="center"/>
    </xf>
    <xf numFmtId="3" fontId="0" fillId="0" borderId="1" xfId="0" applyNumberFormat="1" applyBorder="1" applyAlignment="1">
      <alignment horizontal="center"/>
    </xf>
    <xf numFmtId="9" fontId="19" fillId="0" borderId="0" xfId="2" applyFont="1" applyAlignment="1">
      <alignment horizontal="center"/>
    </xf>
    <xf numFmtId="9" fontId="19" fillId="0" borderId="1" xfId="2" applyFont="1" applyBorder="1" applyAlignment="1">
      <alignment horizontal="center" vertical="center"/>
    </xf>
    <xf numFmtId="165" fontId="19" fillId="0" borderId="1" xfId="1" applyFont="1" applyBorder="1" applyAlignment="1">
      <alignment horizontal="center"/>
    </xf>
    <xf numFmtId="0" fontId="0" fillId="0" borderId="1" xfId="0" quotePrefix="1" applyBorder="1" applyAlignment="1">
      <alignment horizontal="center"/>
    </xf>
    <xf numFmtId="165" fontId="0" fillId="0" borderId="1" xfId="1" applyFont="1" applyBorder="1" applyAlignment="1">
      <alignment horizontal="center"/>
    </xf>
    <xf numFmtId="165" fontId="0" fillId="0" borderId="0" xfId="0" applyNumberFormat="1"/>
    <xf numFmtId="9" fontId="0" fillId="3" borderId="1" xfId="2" applyFont="1" applyFill="1" applyBorder="1" applyAlignment="1">
      <alignment horizontal="center"/>
    </xf>
    <xf numFmtId="9" fontId="0" fillId="3" borderId="1" xfId="0" applyNumberFormat="1" applyFill="1" applyBorder="1" applyAlignment="1">
      <alignment horizontal="center"/>
    </xf>
    <xf numFmtId="0" fontId="0" fillId="3" borderId="10" xfId="0" applyFill="1" applyBorder="1"/>
    <xf numFmtId="0" fontId="0" fillId="3" borderId="4" xfId="0" applyFill="1" applyBorder="1"/>
    <xf numFmtId="0" fontId="0" fillId="3" borderId="11" xfId="0" applyFill="1" applyBorder="1"/>
    <xf numFmtId="0" fontId="0" fillId="3" borderId="5" xfId="2" applyNumberFormat="1" applyFont="1" applyFill="1" applyBorder="1" applyAlignment="1">
      <alignment horizontal="center"/>
    </xf>
    <xf numFmtId="0" fontId="0" fillId="3" borderId="6" xfId="0" applyFill="1" applyBorder="1"/>
    <xf numFmtId="0" fontId="0" fillId="3" borderId="20" xfId="0" applyFill="1" applyBorder="1"/>
    <xf numFmtId="0" fontId="0" fillId="3" borderId="15" xfId="0" applyFill="1" applyBorder="1" applyAlignment="1">
      <alignment horizontal="center"/>
    </xf>
    <xf numFmtId="0" fontId="0" fillId="3" borderId="27" xfId="0" applyFill="1" applyBorder="1"/>
    <xf numFmtId="0" fontId="20" fillId="0" borderId="10" xfId="0" applyFont="1" applyBorder="1"/>
    <xf numFmtId="0" fontId="19" fillId="0" borderId="16" xfId="0" applyFont="1" applyBorder="1" applyAlignment="1">
      <alignment horizontal="center"/>
    </xf>
    <xf numFmtId="0" fontId="20" fillId="0" borderId="11" xfId="0" applyFont="1" applyBorder="1"/>
    <xf numFmtId="0" fontId="19" fillId="0" borderId="5" xfId="0" applyFont="1" applyBorder="1" applyAlignment="1">
      <alignment horizontal="center"/>
    </xf>
    <xf numFmtId="0" fontId="19" fillId="0" borderId="10" xfId="0" applyFont="1" applyBorder="1"/>
    <xf numFmtId="0" fontId="19" fillId="0" borderId="11" xfId="0" applyFont="1" applyBorder="1"/>
    <xf numFmtId="165" fontId="0" fillId="0" borderId="0" xfId="1" applyFont="1"/>
    <xf numFmtId="165" fontId="0" fillId="0" borderId="1" xfId="1" applyFont="1" applyBorder="1"/>
    <xf numFmtId="0" fontId="19" fillId="0" borderId="10" xfId="0" applyFont="1" applyBorder="1" applyAlignment="1">
      <alignment horizontal="center"/>
    </xf>
    <xf numFmtId="0" fontId="19" fillId="0" borderId="11" xfId="0" applyFont="1" applyBorder="1" applyAlignment="1">
      <alignment horizontal="center"/>
    </xf>
    <xf numFmtId="165" fontId="0" fillId="0" borderId="5" xfId="1" applyFont="1" applyBorder="1"/>
    <xf numFmtId="165" fontId="0" fillId="0" borderId="15" xfId="1" applyFont="1" applyBorder="1"/>
    <xf numFmtId="3" fontId="19" fillId="0" borderId="15" xfId="0" applyNumberFormat="1" applyFont="1" applyBorder="1" applyAlignment="1">
      <alignment horizontal="center"/>
    </xf>
    <xf numFmtId="3" fontId="19" fillId="0" borderId="5" xfId="0" applyNumberFormat="1" applyFont="1" applyBorder="1" applyAlignment="1">
      <alignment horizontal="center"/>
    </xf>
    <xf numFmtId="165" fontId="19" fillId="0" borderId="27" xfId="0" applyNumberFormat="1" applyFont="1" applyBorder="1"/>
    <xf numFmtId="165" fontId="19" fillId="0" borderId="59" xfId="0" applyNumberFormat="1" applyFont="1" applyBorder="1"/>
    <xf numFmtId="0" fontId="7" fillId="0" borderId="0" xfId="0" applyFont="1"/>
    <xf numFmtId="169" fontId="0" fillId="0" borderId="0" xfId="0" applyNumberFormat="1"/>
    <xf numFmtId="0" fontId="18" fillId="0" borderId="10" xfId="0" applyFont="1" applyBorder="1" applyAlignment="1">
      <alignment horizontal="center"/>
    </xf>
    <xf numFmtId="0" fontId="18" fillId="0" borderId="11" xfId="0" applyFont="1" applyBorder="1" applyAlignment="1">
      <alignment horizontal="center"/>
    </xf>
    <xf numFmtId="0" fontId="18" fillId="0" borderId="20" xfId="0" applyFont="1" applyBorder="1" applyAlignment="1">
      <alignment horizontal="center"/>
    </xf>
    <xf numFmtId="165" fontId="4" fillId="0" borderId="6" xfId="1" applyFont="1" applyFill="1" applyBorder="1" applyAlignment="1">
      <alignment horizontal="center"/>
    </xf>
    <xf numFmtId="0" fontId="4" fillId="5" borderId="15" xfId="0" applyFont="1" applyFill="1" applyBorder="1" applyAlignment="1">
      <alignment horizontal="center" vertical="center"/>
    </xf>
    <xf numFmtId="165" fontId="0" fillId="0" borderId="4" xfId="0" applyNumberFormat="1" applyBorder="1" applyAlignment="1">
      <alignment horizontal="center"/>
    </xf>
    <xf numFmtId="0" fontId="0" fillId="0" borderId="39" xfId="0" applyBorder="1" applyAlignment="1">
      <alignment horizontal="left"/>
    </xf>
    <xf numFmtId="0" fontId="0" fillId="0" borderId="49" xfId="0" applyBorder="1" applyAlignment="1">
      <alignment horizontal="center"/>
    </xf>
    <xf numFmtId="0" fontId="0" fillId="0" borderId="7" xfId="0" applyBorder="1"/>
    <xf numFmtId="0" fontId="0" fillId="0" borderId="8" xfId="0" applyBorder="1"/>
    <xf numFmtId="0" fontId="4" fillId="5" borderId="14" xfId="0" applyFont="1" applyFill="1" applyBorder="1" applyAlignment="1">
      <alignment horizontal="center" vertical="center" wrapText="1"/>
    </xf>
    <xf numFmtId="0" fontId="4" fillId="5" borderId="14" xfId="0" applyFont="1" applyFill="1" applyBorder="1" applyAlignment="1">
      <alignment horizontal="center"/>
    </xf>
    <xf numFmtId="165" fontId="0" fillId="0" borderId="4" xfId="0" applyNumberFormat="1" applyBorder="1"/>
    <xf numFmtId="0" fontId="4" fillId="0" borderId="23" xfId="0" applyFont="1" applyBorder="1"/>
    <xf numFmtId="0" fontId="0" fillId="0" borderId="64" xfId="0" applyBorder="1"/>
    <xf numFmtId="0" fontId="0" fillId="0" borderId="63" xfId="0" applyBorder="1"/>
    <xf numFmtId="0" fontId="18" fillId="18" borderId="65" xfId="0" applyFont="1" applyFill="1" applyBorder="1" applyAlignment="1">
      <alignment horizontal="center"/>
    </xf>
    <xf numFmtId="0" fontId="18" fillId="18" borderId="11" xfId="0" applyFont="1" applyFill="1" applyBorder="1" applyAlignment="1">
      <alignment horizontal="center"/>
    </xf>
    <xf numFmtId="0" fontId="18" fillId="18" borderId="6" xfId="0" applyFont="1" applyFill="1" applyBorder="1" applyAlignment="1">
      <alignment horizontal="center"/>
    </xf>
    <xf numFmtId="0" fontId="18" fillId="18" borderId="62" xfId="0" applyFont="1" applyFill="1" applyBorder="1" applyAlignment="1">
      <alignment horizontal="center"/>
    </xf>
    <xf numFmtId="165" fontId="0" fillId="0" borderId="5" xfId="0" applyNumberFormat="1" applyBorder="1" applyAlignment="1">
      <alignment horizontal="center"/>
    </xf>
    <xf numFmtId="0" fontId="0" fillId="0" borderId="5" xfId="1" applyNumberFormat="1" applyFont="1" applyBorder="1" applyAlignment="1">
      <alignment horizontal="center"/>
    </xf>
    <xf numFmtId="165" fontId="0" fillId="0" borderId="6" xfId="0" applyNumberFormat="1" applyBorder="1" applyAlignment="1">
      <alignment horizontal="center"/>
    </xf>
    <xf numFmtId="165" fontId="0" fillId="0" borderId="6" xfId="0" applyNumberFormat="1" applyBorder="1"/>
    <xf numFmtId="165" fontId="0" fillId="0" borderId="27" xfId="0" applyNumberFormat="1" applyBorder="1"/>
    <xf numFmtId="165" fontId="4" fillId="0" borderId="6" xfId="0" applyNumberFormat="1" applyFont="1" applyBorder="1"/>
    <xf numFmtId="0" fontId="4" fillId="5" borderId="17" xfId="0" applyFont="1" applyFill="1" applyBorder="1" applyAlignment="1">
      <alignment horizontal="center" vertical="top"/>
    </xf>
    <xf numFmtId="0" fontId="4" fillId="5" borderId="26" xfId="0" applyFont="1" applyFill="1" applyBorder="1" applyAlignment="1">
      <alignment horizontal="center" vertical="top"/>
    </xf>
    <xf numFmtId="0" fontId="7" fillId="0" borderId="64" xfId="0" applyFont="1" applyBorder="1"/>
    <xf numFmtId="167" fontId="0" fillId="0" borderId="0" xfId="1" applyNumberFormat="1" applyFont="1"/>
    <xf numFmtId="0" fontId="10" fillId="0" borderId="0" xfId="4"/>
    <xf numFmtId="165" fontId="0" fillId="0" borderId="0" xfId="1" applyFont="1" applyBorder="1"/>
    <xf numFmtId="0" fontId="27" fillId="0" borderId="0" xfId="0" applyFont="1"/>
    <xf numFmtId="167" fontId="0" fillId="0" borderId="0" xfId="0" applyNumberFormat="1"/>
    <xf numFmtId="167" fontId="0" fillId="0" borderId="1" xfId="0" applyNumberFormat="1" applyBorder="1"/>
    <xf numFmtId="0" fontId="0" fillId="0" borderId="15" xfId="0" applyBorder="1" applyAlignment="1">
      <alignment horizontal="center" vertical="center"/>
    </xf>
    <xf numFmtId="167" fontId="0" fillId="0" borderId="1" xfId="1" applyNumberFormat="1" applyFont="1" applyBorder="1" applyAlignment="1">
      <alignment horizontal="center" vertical="center"/>
    </xf>
    <xf numFmtId="167" fontId="0" fillId="0" borderId="5" xfId="0" applyNumberFormat="1" applyBorder="1"/>
    <xf numFmtId="0" fontId="0" fillId="0" borderId="20" xfId="0" applyBorder="1" applyAlignment="1">
      <alignment horizontal="center"/>
    </xf>
    <xf numFmtId="0" fontId="8" fillId="0" borderId="1" xfId="0" applyFont="1" applyBorder="1" applyAlignment="1">
      <alignment horizontal="center" vertical="center"/>
    </xf>
    <xf numFmtId="0" fontId="8" fillId="0" borderId="15" xfId="0" applyFont="1" applyBorder="1" applyAlignment="1">
      <alignment horizontal="center" vertical="center"/>
    </xf>
    <xf numFmtId="0" fontId="8" fillId="0" borderId="10" xfId="0" applyFont="1" applyBorder="1" applyAlignment="1">
      <alignment horizontal="center" vertical="center"/>
    </xf>
    <xf numFmtId="0" fontId="8" fillId="0" borderId="11" xfId="0" applyFont="1" applyBorder="1" applyAlignment="1">
      <alignment horizontal="center" vertical="center"/>
    </xf>
    <xf numFmtId="0" fontId="8" fillId="0" borderId="5" xfId="0" applyFont="1" applyBorder="1" applyAlignment="1">
      <alignment horizontal="center" vertical="center"/>
    </xf>
    <xf numFmtId="9" fontId="0" fillId="0" borderId="0" xfId="2" applyFont="1"/>
    <xf numFmtId="165" fontId="0" fillId="0" borderId="0" xfId="1" applyFont="1" applyBorder="1" applyAlignment="1">
      <alignment horizontal="center"/>
    </xf>
    <xf numFmtId="165" fontId="0" fillId="0" borderId="6" xfId="1" applyFont="1" applyBorder="1" applyAlignment="1">
      <alignment horizontal="center"/>
    </xf>
    <xf numFmtId="0" fontId="4" fillId="5" borderId="5" xfId="0" applyFont="1" applyFill="1" applyBorder="1" applyAlignment="1">
      <alignment horizontal="center" vertical="center"/>
    </xf>
    <xf numFmtId="0" fontId="4" fillId="5" borderId="11" xfId="0" applyFont="1" applyFill="1" applyBorder="1" applyAlignment="1">
      <alignment horizontal="center" vertical="center"/>
    </xf>
    <xf numFmtId="0" fontId="4" fillId="5" borderId="20" xfId="0" applyFont="1" applyFill="1" applyBorder="1" applyAlignment="1">
      <alignment horizontal="center" vertical="center"/>
    </xf>
    <xf numFmtId="0" fontId="0" fillId="0" borderId="70" xfId="0" applyBorder="1"/>
    <xf numFmtId="0" fontId="0" fillId="0" borderId="71" xfId="0" applyBorder="1"/>
    <xf numFmtId="0" fontId="0" fillId="0" borderId="72" xfId="0" applyBorder="1"/>
    <xf numFmtId="0" fontId="4" fillId="5" borderId="73" xfId="0" applyFont="1" applyFill="1" applyBorder="1" applyAlignment="1">
      <alignment horizontal="center" vertical="center"/>
    </xf>
    <xf numFmtId="0" fontId="3" fillId="0" borderId="1" xfId="0" applyFont="1" applyBorder="1" applyAlignment="1">
      <alignment horizontal="left"/>
    </xf>
    <xf numFmtId="0" fontId="4" fillId="0" borderId="51" xfId="0" applyFont="1" applyBorder="1" applyAlignment="1">
      <alignment horizontal="center" vertical="center"/>
    </xf>
    <xf numFmtId="0" fontId="4" fillId="0" borderId="64" xfId="0" applyFont="1" applyBorder="1"/>
    <xf numFmtId="0" fontId="4" fillId="0" borderId="65" xfId="0" applyFont="1" applyBorder="1"/>
    <xf numFmtId="0" fontId="18" fillId="18" borderId="13" xfId="0" applyFont="1" applyFill="1" applyBorder="1" applyAlignment="1">
      <alignment horizontal="center"/>
    </xf>
    <xf numFmtId="0" fontId="4" fillId="0" borderId="16" xfId="0" applyFont="1" applyBorder="1" applyAlignment="1">
      <alignment horizontal="center" vertical="center"/>
    </xf>
    <xf numFmtId="0" fontId="4" fillId="0" borderId="19" xfId="0" applyFont="1" applyBorder="1" applyAlignment="1">
      <alignment horizontal="center" vertical="center"/>
    </xf>
    <xf numFmtId="3" fontId="0" fillId="0" borderId="12" xfId="0" applyNumberFormat="1" applyBorder="1" applyAlignment="1">
      <alignment horizontal="center"/>
    </xf>
    <xf numFmtId="9" fontId="0" fillId="0" borderId="1" xfId="2" applyFont="1" applyFill="1" applyBorder="1" applyAlignment="1">
      <alignment horizontal="center" vertical="center"/>
    </xf>
    <xf numFmtId="165" fontId="0" fillId="0" borderId="4" xfId="1" applyFont="1" applyBorder="1"/>
    <xf numFmtId="9" fontId="0" fillId="0" borderId="5" xfId="2" applyFont="1" applyFill="1" applyBorder="1" applyAlignment="1">
      <alignment horizontal="center" vertical="center"/>
    </xf>
    <xf numFmtId="165" fontId="0" fillId="0" borderId="27" xfId="1" applyFont="1" applyBorder="1"/>
    <xf numFmtId="167" fontId="0" fillId="0" borderId="68" xfId="1" applyNumberFormat="1" applyFont="1" applyBorder="1"/>
    <xf numFmtId="167" fontId="0" fillId="0" borderId="41" xfId="1" applyNumberFormat="1" applyFont="1" applyBorder="1"/>
    <xf numFmtId="167" fontId="0" fillId="0" borderId="69" xfId="1" applyNumberFormat="1" applyFont="1" applyBorder="1"/>
    <xf numFmtId="0" fontId="0" fillId="0" borderId="70" xfId="0" applyBorder="1" applyAlignment="1">
      <alignment horizontal="center" vertical="center" wrapText="1"/>
    </xf>
    <xf numFmtId="0" fontId="0" fillId="0" borderId="71" xfId="0" applyBorder="1" applyAlignment="1">
      <alignment horizontal="center" vertical="center" wrapText="1"/>
    </xf>
    <xf numFmtId="0" fontId="0" fillId="0" borderId="72" xfId="0" applyBorder="1" applyAlignment="1">
      <alignment horizontal="center" vertical="center" wrapText="1"/>
    </xf>
    <xf numFmtId="167" fontId="8" fillId="0" borderId="1" xfId="1" applyNumberFormat="1" applyFont="1" applyBorder="1" applyAlignment="1">
      <alignment horizontal="center" vertical="center"/>
    </xf>
    <xf numFmtId="167" fontId="0" fillId="0" borderId="26" xfId="1" applyNumberFormat="1" applyFont="1" applyBorder="1"/>
    <xf numFmtId="167" fontId="8" fillId="0" borderId="5" xfId="1" applyNumberFormat="1" applyFont="1" applyBorder="1" applyAlignment="1">
      <alignment horizontal="center" vertical="center"/>
    </xf>
    <xf numFmtId="0" fontId="9" fillId="0" borderId="5" xfId="0" applyFont="1" applyBorder="1" applyAlignment="1">
      <alignment horizontal="center" vertical="center"/>
    </xf>
    <xf numFmtId="164" fontId="8" fillId="0" borderId="6" xfId="0" applyNumberFormat="1" applyFont="1" applyBorder="1" applyAlignment="1">
      <alignment horizontal="center" vertical="center"/>
    </xf>
    <xf numFmtId="164" fontId="0" fillId="0" borderId="40" xfId="0" applyNumberFormat="1" applyBorder="1"/>
    <xf numFmtId="0" fontId="4" fillId="0" borderId="10" xfId="0" applyFont="1" applyBorder="1"/>
    <xf numFmtId="0" fontId="4" fillId="21" borderId="33" xfId="0" applyFont="1" applyFill="1" applyBorder="1"/>
    <xf numFmtId="0" fontId="4" fillId="0" borderId="64" xfId="0" applyFont="1" applyBorder="1" applyAlignment="1">
      <alignment horizontal="center"/>
    </xf>
    <xf numFmtId="0" fontId="4" fillId="0" borderId="58" xfId="0" applyFont="1" applyBorder="1" applyAlignment="1">
      <alignment horizontal="center"/>
    </xf>
    <xf numFmtId="0" fontId="21" fillId="5" borderId="73" xfId="0" applyFont="1" applyFill="1" applyBorder="1" applyAlignment="1">
      <alignment horizontal="center" vertical="center"/>
    </xf>
    <xf numFmtId="165" fontId="0" fillId="0" borderId="10" xfId="1" applyFont="1" applyBorder="1"/>
    <xf numFmtId="165" fontId="0" fillId="0" borderId="11" xfId="1" applyFont="1" applyBorder="1"/>
    <xf numFmtId="0" fontId="19" fillId="22" borderId="44" xfId="0" applyFont="1" applyFill="1" applyBorder="1" applyAlignment="1">
      <alignment horizontal="left"/>
    </xf>
    <xf numFmtId="167" fontId="3" fillId="0" borderId="0" xfId="1" applyNumberFormat="1" applyFont="1"/>
    <xf numFmtId="0" fontId="4" fillId="25" borderId="1" xfId="0" applyFont="1" applyFill="1" applyBorder="1" applyAlignment="1">
      <alignment horizontal="center"/>
    </xf>
    <xf numFmtId="165" fontId="3" fillId="0" borderId="1" xfId="1" applyFont="1" applyFill="1" applyBorder="1" applyAlignment="1">
      <alignment horizontal="left"/>
    </xf>
    <xf numFmtId="0" fontId="4" fillId="0" borderId="14" xfId="0" applyFont="1" applyBorder="1"/>
    <xf numFmtId="0" fontId="0" fillId="0" borderId="83" xfId="0" applyBorder="1"/>
    <xf numFmtId="0" fontId="4" fillId="21" borderId="10" xfId="0" applyFont="1" applyFill="1" applyBorder="1"/>
    <xf numFmtId="0" fontId="4" fillId="0" borderId="10" xfId="0" applyFont="1" applyBorder="1" applyAlignment="1">
      <alignment vertical="center"/>
    </xf>
    <xf numFmtId="0" fontId="4" fillId="0" borderId="20" xfId="0" applyFont="1" applyBorder="1" applyAlignment="1">
      <alignment horizontal="left"/>
    </xf>
    <xf numFmtId="0" fontId="4" fillId="21" borderId="38" xfId="0" applyFont="1" applyFill="1" applyBorder="1"/>
    <xf numFmtId="165" fontId="0" fillId="21" borderId="1" xfId="1" applyFont="1" applyFill="1" applyBorder="1"/>
    <xf numFmtId="165" fontId="0" fillId="21" borderId="36" xfId="0" applyNumberFormat="1" applyFill="1" applyBorder="1"/>
    <xf numFmtId="168" fontId="3" fillId="0" borderId="1" xfId="0" applyNumberFormat="1" applyFont="1" applyBorder="1" applyAlignment="1">
      <alignment horizontal="left"/>
    </xf>
    <xf numFmtId="165" fontId="0" fillId="21" borderId="59" xfId="0" applyNumberFormat="1" applyFill="1" applyBorder="1"/>
    <xf numFmtId="0" fontId="4" fillId="21" borderId="17" xfId="0" applyFont="1" applyFill="1" applyBorder="1"/>
    <xf numFmtId="165" fontId="0" fillId="21" borderId="25" xfId="0" applyNumberFormat="1" applyFill="1" applyBorder="1"/>
    <xf numFmtId="165" fontId="0" fillId="21" borderId="26" xfId="0" applyNumberFormat="1" applyFill="1" applyBorder="1"/>
    <xf numFmtId="0" fontId="4" fillId="0" borderId="65" xfId="0" applyFont="1" applyBorder="1" applyAlignment="1">
      <alignment horizontal="center"/>
    </xf>
    <xf numFmtId="0" fontId="4" fillId="0" borderId="58" xfId="0" applyFont="1" applyBorder="1"/>
    <xf numFmtId="0" fontId="4" fillId="21" borderId="44" xfId="0" applyFont="1" applyFill="1" applyBorder="1"/>
    <xf numFmtId="3" fontId="0" fillId="0" borderId="15" xfId="0" applyNumberFormat="1" applyBorder="1" applyAlignment="1">
      <alignment horizontal="center"/>
    </xf>
    <xf numFmtId="3" fontId="0" fillId="23" borderId="70" xfId="0" applyNumberFormat="1" applyFill="1" applyBorder="1" applyAlignment="1">
      <alignment horizontal="center"/>
    </xf>
    <xf numFmtId="3" fontId="0" fillId="0" borderId="53" xfId="0" applyNumberFormat="1" applyBorder="1" applyAlignment="1">
      <alignment horizontal="center"/>
    </xf>
    <xf numFmtId="0" fontId="4" fillId="23" borderId="14" xfId="0" applyFont="1" applyFill="1" applyBorder="1" applyAlignment="1">
      <alignment horizontal="center" vertical="center"/>
    </xf>
    <xf numFmtId="0" fontId="18" fillId="0" borderId="84" xfId="0" applyFont="1" applyBorder="1" applyAlignment="1">
      <alignment horizontal="center" wrapText="1"/>
    </xf>
    <xf numFmtId="171" fontId="18" fillId="0" borderId="85" xfId="0" applyNumberFormat="1" applyFont="1" applyBorder="1" applyAlignment="1">
      <alignment horizontal="center" wrapText="1"/>
    </xf>
    <xf numFmtId="0" fontId="33" fillId="0" borderId="86" xfId="0" applyFont="1" applyBorder="1" applyAlignment="1">
      <alignment horizontal="center" wrapText="1"/>
    </xf>
    <xf numFmtId="171" fontId="18" fillId="0" borderId="87" xfId="0" applyNumberFormat="1" applyFont="1" applyBorder="1" applyAlignment="1">
      <alignment horizontal="center" wrapText="1"/>
    </xf>
    <xf numFmtId="170" fontId="0" fillId="0" borderId="26" xfId="0" applyNumberFormat="1" applyBorder="1" applyAlignment="1">
      <alignment vertical="center"/>
    </xf>
    <xf numFmtId="0" fontId="10" fillId="0" borderId="0" xfId="4" applyAlignment="1">
      <alignment horizontal="center"/>
    </xf>
    <xf numFmtId="0" fontId="10" fillId="0" borderId="0" xfId="4" applyAlignment="1">
      <alignment horizontal="center" wrapText="1"/>
    </xf>
    <xf numFmtId="167" fontId="10" fillId="0" borderId="0" xfId="4" applyNumberFormat="1" applyAlignment="1">
      <alignment horizontal="center"/>
    </xf>
    <xf numFmtId="0" fontId="36" fillId="0" borderId="0" xfId="0" applyFont="1" applyAlignment="1">
      <alignment wrapText="1"/>
    </xf>
    <xf numFmtId="0" fontId="36" fillId="0" borderId="0" xfId="0" applyFont="1" applyAlignment="1">
      <alignment horizontal="center" vertical="center" wrapText="1"/>
    </xf>
    <xf numFmtId="0" fontId="4" fillId="0" borderId="0" xfId="0" applyFont="1" applyAlignment="1">
      <alignment horizontal="left" vertical="top" wrapText="1"/>
    </xf>
    <xf numFmtId="0" fontId="4" fillId="0" borderId="0" xfId="0" applyFont="1" applyAlignment="1">
      <alignment horizontal="right" vertical="center" wrapText="1"/>
    </xf>
    <xf numFmtId="0" fontId="36" fillId="0" borderId="0" xfId="0" applyFont="1" applyAlignment="1">
      <alignment horizontal="left" vertical="top" wrapText="1"/>
    </xf>
    <xf numFmtId="0" fontId="36" fillId="0" borderId="0" xfId="0" applyFont="1" applyAlignment="1">
      <alignment horizontal="right" wrapText="1"/>
    </xf>
    <xf numFmtId="0" fontId="37" fillId="0" borderId="0" xfId="0" applyFont="1" applyAlignment="1">
      <alignment horizontal="left" vertical="top"/>
    </xf>
    <xf numFmtId="0" fontId="37" fillId="0" borderId="0" xfId="0" applyFont="1" applyAlignment="1">
      <alignment horizontal="right"/>
    </xf>
    <xf numFmtId="0" fontId="37" fillId="0" borderId="0" xfId="0" applyFont="1" applyAlignment="1">
      <alignment horizontal="center" vertical="center"/>
    </xf>
    <xf numFmtId="0" fontId="4" fillId="0" borderId="0" xfId="0" applyFont="1" applyAlignment="1">
      <alignment horizontal="center" vertical="center" wrapText="1"/>
    </xf>
    <xf numFmtId="2" fontId="0" fillId="0" borderId="0" xfId="0" applyNumberFormat="1" applyAlignment="1">
      <alignment horizontal="center" vertical="center"/>
    </xf>
    <xf numFmtId="0" fontId="0" fillId="0" borderId="0" xfId="0" applyAlignment="1">
      <alignment horizontal="left" vertical="top"/>
    </xf>
    <xf numFmtId="0" fontId="0" fillId="0" borderId="0" xfId="0" applyAlignment="1">
      <alignment horizontal="right"/>
    </xf>
    <xf numFmtId="167" fontId="0" fillId="0" borderId="53" xfId="1" applyNumberFormat="1" applyFont="1" applyBorder="1"/>
    <xf numFmtId="167" fontId="0" fillId="0" borderId="40" xfId="1" applyNumberFormat="1" applyFont="1" applyBorder="1"/>
    <xf numFmtId="164" fontId="4" fillId="19" borderId="40" xfId="0" applyNumberFormat="1" applyFont="1" applyFill="1" applyBorder="1"/>
    <xf numFmtId="167" fontId="0" fillId="0" borderId="40" xfId="1" applyNumberFormat="1" applyFont="1" applyFill="1" applyBorder="1"/>
    <xf numFmtId="167" fontId="4" fillId="19" borderId="40" xfId="0" applyNumberFormat="1" applyFont="1" applyFill="1" applyBorder="1"/>
    <xf numFmtId="165" fontId="4" fillId="19" borderId="62" xfId="0" applyNumberFormat="1" applyFont="1" applyFill="1" applyBorder="1"/>
    <xf numFmtId="167" fontId="0" fillId="0" borderId="20" xfId="1" applyNumberFormat="1" applyFont="1" applyBorder="1"/>
    <xf numFmtId="167" fontId="0" fillId="0" borderId="10" xfId="1" applyNumberFormat="1" applyFont="1" applyBorder="1"/>
    <xf numFmtId="164" fontId="4" fillId="19" borderId="10" xfId="0" applyNumberFormat="1" applyFont="1" applyFill="1" applyBorder="1"/>
    <xf numFmtId="164" fontId="0" fillId="0" borderId="10" xfId="0" applyNumberFormat="1" applyBorder="1"/>
    <xf numFmtId="167" fontId="0" fillId="0" borderId="10" xfId="1" applyNumberFormat="1" applyFont="1" applyFill="1" applyBorder="1"/>
    <xf numFmtId="167" fontId="4" fillId="19" borderId="10" xfId="0" applyNumberFormat="1" applyFont="1" applyFill="1" applyBorder="1"/>
    <xf numFmtId="165" fontId="4" fillId="19" borderId="11" xfId="0" applyNumberFormat="1" applyFont="1" applyFill="1" applyBorder="1"/>
    <xf numFmtId="0" fontId="4" fillId="19" borderId="64" xfId="0" applyFont="1" applyFill="1" applyBorder="1"/>
    <xf numFmtId="0" fontId="4" fillId="19" borderId="65" xfId="0" applyFont="1" applyFill="1" applyBorder="1"/>
    <xf numFmtId="165" fontId="0" fillId="0" borderId="10" xfId="1" applyFont="1" applyFill="1" applyBorder="1"/>
    <xf numFmtId="9" fontId="0" fillId="0" borderId="20" xfId="2" applyFont="1" applyBorder="1"/>
    <xf numFmtId="9" fontId="0" fillId="0" borderId="10" xfId="2" applyFont="1" applyBorder="1"/>
    <xf numFmtId="9" fontId="4" fillId="19" borderId="10" xfId="2" applyFont="1" applyFill="1" applyBorder="1"/>
    <xf numFmtId="9" fontId="0" fillId="0" borderId="10" xfId="2" applyFont="1" applyFill="1" applyBorder="1"/>
    <xf numFmtId="9" fontId="4" fillId="19" borderId="11" xfId="2" applyFont="1" applyFill="1" applyBorder="1"/>
    <xf numFmtId="165" fontId="4" fillId="0" borderId="26" xfId="0" applyNumberFormat="1" applyFont="1" applyBorder="1"/>
    <xf numFmtId="165" fontId="0" fillId="0" borderId="50" xfId="1" applyFont="1" applyBorder="1"/>
    <xf numFmtId="165" fontId="0" fillId="0" borderId="49" xfId="1" applyFont="1" applyBorder="1"/>
    <xf numFmtId="0" fontId="0" fillId="0" borderId="39" xfId="0" applyBorder="1"/>
    <xf numFmtId="0" fontId="0" fillId="5" borderId="3" xfId="0" applyFill="1" applyBorder="1" applyAlignment="1">
      <alignment horizontal="center"/>
    </xf>
    <xf numFmtId="0" fontId="0" fillId="5" borderId="16" xfId="0" applyFill="1" applyBorder="1" applyAlignment="1">
      <alignment horizontal="center"/>
    </xf>
    <xf numFmtId="0" fontId="0" fillId="5" borderId="2" xfId="0" applyFill="1" applyBorder="1" applyAlignment="1">
      <alignment horizontal="center"/>
    </xf>
    <xf numFmtId="2" fontId="0" fillId="17" borderId="1" xfId="0" applyNumberFormat="1" applyFill="1" applyBorder="1" applyAlignment="1">
      <alignment horizontal="center"/>
    </xf>
    <xf numFmtId="2" fontId="0" fillId="0" borderId="40" xfId="0" applyNumberFormat="1" applyBorder="1" applyAlignment="1">
      <alignment horizontal="center"/>
    </xf>
    <xf numFmtId="2" fontId="4" fillId="17" borderId="72" xfId="0" applyNumberFormat="1" applyFont="1" applyFill="1" applyBorder="1" applyAlignment="1">
      <alignment horizontal="center"/>
    </xf>
    <xf numFmtId="2" fontId="0" fillId="0" borderId="12" xfId="0" applyNumberFormat="1" applyBorder="1" applyAlignment="1">
      <alignment horizontal="center"/>
    </xf>
    <xf numFmtId="0" fontId="4" fillId="5" borderId="1" xfId="0" applyFont="1" applyFill="1" applyBorder="1"/>
    <xf numFmtId="165" fontId="0" fillId="0" borderId="18" xfId="1" applyFont="1" applyBorder="1"/>
    <xf numFmtId="0" fontId="0" fillId="5" borderId="14" xfId="0" applyFill="1" applyBorder="1"/>
    <xf numFmtId="166" fontId="0" fillId="17" borderId="1" xfId="0" applyNumberFormat="1" applyFill="1" applyBorder="1" applyAlignment="1">
      <alignment horizontal="center"/>
    </xf>
    <xf numFmtId="166" fontId="0" fillId="0" borderId="40" xfId="0" applyNumberFormat="1" applyBorder="1" applyAlignment="1">
      <alignment horizontal="center"/>
    </xf>
    <xf numFmtId="166" fontId="4" fillId="17" borderId="71" xfId="0" applyNumberFormat="1" applyFont="1" applyFill="1" applyBorder="1" applyAlignment="1">
      <alignment horizontal="center"/>
    </xf>
    <xf numFmtId="166" fontId="0" fillId="0" borderId="12" xfId="0" applyNumberFormat="1" applyBorder="1" applyAlignment="1">
      <alignment horizontal="center"/>
    </xf>
    <xf numFmtId="1" fontId="0" fillId="0" borderId="1" xfId="0" applyNumberFormat="1" applyBorder="1" applyAlignment="1">
      <alignment horizontal="center"/>
    </xf>
    <xf numFmtId="1" fontId="0" fillId="17" borderId="1" xfId="0" applyNumberFormat="1" applyFill="1" applyBorder="1" applyAlignment="1">
      <alignment horizontal="center"/>
    </xf>
    <xf numFmtId="1" fontId="0" fillId="0" borderId="40" xfId="0" applyNumberFormat="1" applyBorder="1" applyAlignment="1">
      <alignment horizontal="center"/>
    </xf>
    <xf numFmtId="1" fontId="4" fillId="17" borderId="83" xfId="0" applyNumberFormat="1" applyFont="1" applyFill="1" applyBorder="1" applyAlignment="1">
      <alignment horizontal="center"/>
    </xf>
    <xf numFmtId="1" fontId="0" fillId="0" borderId="12" xfId="0" applyNumberFormat="1" applyBorder="1" applyAlignment="1">
      <alignment horizontal="center"/>
    </xf>
    <xf numFmtId="0" fontId="0" fillId="0" borderId="50" xfId="0" applyBorder="1" applyAlignment="1">
      <alignment horizontal="center"/>
    </xf>
    <xf numFmtId="0" fontId="0" fillId="17" borderId="0" xfId="0" applyFill="1"/>
    <xf numFmtId="165" fontId="4" fillId="23" borderId="69" xfId="1" applyFont="1" applyFill="1" applyBorder="1" applyAlignment="1">
      <alignment horizontal="center" vertical="center"/>
    </xf>
    <xf numFmtId="165" fontId="4" fillId="23" borderId="72" xfId="1" applyFont="1" applyFill="1" applyBorder="1" applyAlignment="1">
      <alignment horizontal="center" vertical="center"/>
    </xf>
    <xf numFmtId="165" fontId="0" fillId="0" borderId="34" xfId="1" applyFont="1" applyBorder="1" applyAlignment="1">
      <alignment horizontal="center" vertical="center"/>
    </xf>
    <xf numFmtId="165" fontId="0" fillId="0" borderId="36" xfId="1" applyFont="1" applyBorder="1" applyAlignment="1">
      <alignment horizontal="center" vertical="center"/>
    </xf>
    <xf numFmtId="165" fontId="0" fillId="0" borderId="93" xfId="1" applyFont="1" applyBorder="1" applyAlignment="1">
      <alignment horizontal="center" vertical="center"/>
    </xf>
    <xf numFmtId="165" fontId="0" fillId="0" borderId="76" xfId="1" applyFont="1" applyBorder="1" applyAlignment="1">
      <alignment horizontal="center" vertical="center"/>
    </xf>
    <xf numFmtId="165" fontId="0" fillId="0" borderId="93" xfId="1" applyFont="1" applyBorder="1" applyAlignment="1">
      <alignment horizontal="center"/>
    </xf>
    <xf numFmtId="165" fontId="4" fillId="23" borderId="72" xfId="1" applyFont="1" applyFill="1" applyBorder="1" applyAlignment="1">
      <alignment horizontal="center"/>
    </xf>
    <xf numFmtId="165" fontId="0" fillId="0" borderId="34" xfId="1" applyFont="1" applyBorder="1" applyAlignment="1">
      <alignment horizontal="center"/>
    </xf>
    <xf numFmtId="165" fontId="0" fillId="0" borderId="36" xfId="1" applyFont="1" applyBorder="1" applyAlignment="1">
      <alignment horizontal="center"/>
    </xf>
    <xf numFmtId="3" fontId="0" fillId="0" borderId="36" xfId="0" applyNumberFormat="1" applyBorder="1" applyAlignment="1">
      <alignment horizontal="center"/>
    </xf>
    <xf numFmtId="3" fontId="0" fillId="0" borderId="38" xfId="0" applyNumberFormat="1" applyBorder="1" applyAlignment="1">
      <alignment horizontal="center"/>
    </xf>
    <xf numFmtId="0" fontId="4" fillId="5" borderId="12" xfId="0" applyFont="1" applyFill="1" applyBorder="1"/>
    <xf numFmtId="3" fontId="4" fillId="23" borderId="69" xfId="0" applyNumberFormat="1" applyFont="1" applyFill="1" applyBorder="1" applyAlignment="1">
      <alignment horizontal="center" vertical="center"/>
    </xf>
    <xf numFmtId="3" fontId="0" fillId="0" borderId="40" xfId="0" applyNumberFormat="1" applyBorder="1" applyAlignment="1">
      <alignment horizontal="center" vertical="center"/>
    </xf>
    <xf numFmtId="3" fontId="4" fillId="23" borderId="72" xfId="0" applyNumberFormat="1" applyFont="1" applyFill="1" applyBorder="1" applyAlignment="1">
      <alignment horizontal="center" vertical="center"/>
    </xf>
    <xf numFmtId="3" fontId="0" fillId="0" borderId="76" xfId="0" applyNumberFormat="1" applyBorder="1" applyAlignment="1">
      <alignment horizontal="center" vertical="center"/>
    </xf>
    <xf numFmtId="3" fontId="0" fillId="0" borderId="40" xfId="0" applyNumberFormat="1" applyBorder="1" applyAlignment="1">
      <alignment horizontal="center"/>
    </xf>
    <xf numFmtId="3" fontId="4" fillId="23" borderId="72" xfId="0" applyNumberFormat="1" applyFont="1" applyFill="1" applyBorder="1" applyAlignment="1">
      <alignment horizontal="center"/>
    </xf>
    <xf numFmtId="3" fontId="4" fillId="23" borderId="41" xfId="0" applyNumberFormat="1" applyFont="1" applyFill="1" applyBorder="1" applyAlignment="1">
      <alignment horizontal="center" vertical="center"/>
    </xf>
    <xf numFmtId="3" fontId="4" fillId="23" borderId="71" xfId="0" applyNumberFormat="1" applyFont="1" applyFill="1" applyBorder="1" applyAlignment="1">
      <alignment horizontal="center" vertical="center"/>
    </xf>
    <xf numFmtId="0" fontId="0" fillId="0" borderId="40" xfId="0" applyBorder="1" applyAlignment="1">
      <alignment horizontal="center"/>
    </xf>
    <xf numFmtId="0" fontId="0" fillId="0" borderId="1" xfId="2" applyNumberFormat="1" applyFont="1" applyBorder="1" applyAlignment="1">
      <alignment horizontal="center"/>
    </xf>
    <xf numFmtId="9" fontId="4" fillId="23" borderId="41" xfId="2" applyFont="1" applyFill="1" applyBorder="1" applyAlignment="1">
      <alignment horizontal="center" vertical="center"/>
    </xf>
    <xf numFmtId="9" fontId="0" fillId="0" borderId="40" xfId="2" applyFont="1" applyBorder="1" applyAlignment="1">
      <alignment horizontal="center" vertical="center"/>
    </xf>
    <xf numFmtId="9" fontId="4" fillId="23" borderId="71" xfId="2" applyFont="1" applyFill="1" applyBorder="1" applyAlignment="1">
      <alignment horizontal="center" vertical="center"/>
    </xf>
    <xf numFmtId="9" fontId="0" fillId="0" borderId="40" xfId="2" applyFont="1" applyBorder="1" applyAlignment="1">
      <alignment horizontal="center"/>
    </xf>
    <xf numFmtId="0" fontId="4" fillId="5" borderId="66" xfId="0" applyFont="1" applyFill="1" applyBorder="1"/>
    <xf numFmtId="0" fontId="1" fillId="23" borderId="68" xfId="0" applyFont="1" applyFill="1" applyBorder="1" applyAlignment="1">
      <alignment horizontal="center"/>
    </xf>
    <xf numFmtId="0" fontId="2" fillId="0" borderId="1" xfId="0" applyFont="1" applyBorder="1" applyAlignment="1">
      <alignment horizontal="center"/>
    </xf>
    <xf numFmtId="0" fontId="2" fillId="0" borderId="40" xfId="0" applyFont="1" applyBorder="1" applyAlignment="1">
      <alignment horizontal="center"/>
    </xf>
    <xf numFmtId="0" fontId="1" fillId="23" borderId="70" xfId="0" applyFont="1" applyFill="1" applyBorder="1" applyAlignment="1">
      <alignment horizontal="center"/>
    </xf>
    <xf numFmtId="0" fontId="2" fillId="0" borderId="12" xfId="0" applyFont="1" applyBorder="1" applyAlignment="1">
      <alignment horizontal="center"/>
    </xf>
    <xf numFmtId="0" fontId="2" fillId="0" borderId="32" xfId="0" applyFont="1" applyBorder="1" applyAlignment="1">
      <alignment horizontal="center"/>
    </xf>
    <xf numFmtId="0" fontId="2" fillId="0" borderId="53" xfId="0" applyFont="1" applyBorder="1" applyAlignment="1">
      <alignment horizontal="center"/>
    </xf>
    <xf numFmtId="0" fontId="2" fillId="3" borderId="12" xfId="0" applyFont="1" applyFill="1" applyBorder="1" applyAlignment="1">
      <alignment horizontal="center"/>
    </xf>
    <xf numFmtId="0" fontId="2" fillId="3" borderId="1" xfId="0" applyFont="1" applyFill="1" applyBorder="1" applyAlignment="1">
      <alignment horizontal="center"/>
    </xf>
    <xf numFmtId="0" fontId="2" fillId="0" borderId="15" xfId="0" applyFont="1" applyBorder="1" applyAlignment="1">
      <alignment horizontal="center"/>
    </xf>
    <xf numFmtId="3" fontId="0" fillId="0" borderId="66" xfId="0" applyNumberFormat="1" applyBorder="1" applyAlignment="1">
      <alignment horizontal="center" vertical="center"/>
    </xf>
    <xf numFmtId="3" fontId="0" fillId="0" borderId="15" xfId="0" applyNumberFormat="1" applyBorder="1" applyAlignment="1">
      <alignment horizontal="center" vertical="center"/>
    </xf>
    <xf numFmtId="3" fontId="0" fillId="0" borderId="53" xfId="0" applyNumberFormat="1" applyBorder="1" applyAlignment="1">
      <alignment horizontal="center" vertical="center"/>
    </xf>
    <xf numFmtId="3" fontId="1" fillId="23" borderId="70" xfId="0" applyNumberFormat="1" applyFont="1" applyFill="1" applyBorder="1" applyAlignment="1">
      <alignment horizontal="center"/>
    </xf>
    <xf numFmtId="0" fontId="2" fillId="3" borderId="66" xfId="0" applyFont="1" applyFill="1" applyBorder="1" applyAlignment="1">
      <alignment horizontal="center"/>
    </xf>
    <xf numFmtId="0" fontId="2" fillId="3" borderId="15" xfId="0" applyFont="1" applyFill="1" applyBorder="1" applyAlignment="1">
      <alignment horizontal="center"/>
    </xf>
    <xf numFmtId="0" fontId="1" fillId="23" borderId="14" xfId="0" applyFont="1" applyFill="1" applyBorder="1" applyAlignment="1">
      <alignment horizontal="center"/>
    </xf>
    <xf numFmtId="0" fontId="1" fillId="5" borderId="73" xfId="0" applyFont="1" applyFill="1" applyBorder="1" applyAlignment="1">
      <alignment horizontal="center"/>
    </xf>
    <xf numFmtId="0" fontId="1" fillId="5" borderId="25" xfId="0" applyFont="1" applyFill="1" applyBorder="1" applyAlignment="1">
      <alignment horizontal="center"/>
    </xf>
    <xf numFmtId="0" fontId="1" fillId="23" borderId="83" xfId="0" applyFont="1" applyFill="1" applyBorder="1" applyAlignment="1">
      <alignment horizontal="center"/>
    </xf>
    <xf numFmtId="0" fontId="1" fillId="5" borderId="26" xfId="0" applyFont="1" applyFill="1" applyBorder="1" applyAlignment="1">
      <alignment horizontal="center"/>
    </xf>
    <xf numFmtId="0" fontId="0" fillId="17" borderId="23" xfId="0" applyFill="1" applyBorder="1"/>
    <xf numFmtId="0" fontId="0" fillId="17" borderId="14" xfId="0" applyFill="1" applyBorder="1"/>
    <xf numFmtId="1" fontId="21" fillId="17" borderId="1" xfId="0" applyNumberFormat="1" applyFont="1" applyFill="1" applyBorder="1" applyAlignment="1">
      <alignment horizontal="center"/>
    </xf>
    <xf numFmtId="166" fontId="21" fillId="17" borderId="1" xfId="0" applyNumberFormat="1" applyFont="1" applyFill="1" applyBorder="1" applyAlignment="1">
      <alignment horizontal="center"/>
    </xf>
    <xf numFmtId="2" fontId="21" fillId="17" borderId="1" xfId="0" applyNumberFormat="1" applyFont="1" applyFill="1" applyBorder="1" applyAlignment="1">
      <alignment horizontal="center"/>
    </xf>
    <xf numFmtId="0" fontId="4" fillId="5" borderId="29" xfId="0" applyFont="1" applyFill="1" applyBorder="1" applyAlignment="1">
      <alignment horizontal="center" vertical="center" wrapText="1"/>
    </xf>
    <xf numFmtId="165" fontId="0" fillId="0" borderId="22" xfId="0" applyNumberFormat="1" applyBorder="1" applyAlignment="1">
      <alignment horizontal="center"/>
    </xf>
    <xf numFmtId="0" fontId="4" fillId="0" borderId="95" xfId="0" applyFont="1" applyBorder="1" applyAlignment="1">
      <alignment horizontal="center"/>
    </xf>
    <xf numFmtId="3" fontId="0" fillId="0" borderId="49" xfId="0" applyNumberFormat="1" applyBorder="1" applyAlignment="1">
      <alignment horizontal="center"/>
    </xf>
    <xf numFmtId="3" fontId="0" fillId="0" borderId="80" xfId="0" applyNumberFormat="1" applyBorder="1" applyAlignment="1">
      <alignment horizontal="center"/>
    </xf>
    <xf numFmtId="0" fontId="4" fillId="0" borderId="29" xfId="0" applyFont="1" applyBorder="1" applyAlignment="1">
      <alignment horizontal="center" vertical="center"/>
    </xf>
    <xf numFmtId="0" fontId="4" fillId="0" borderId="31" xfId="0" applyFont="1" applyBorder="1" applyAlignment="1">
      <alignment horizontal="center" vertical="center"/>
    </xf>
    <xf numFmtId="0" fontId="4" fillId="23" borderId="75" xfId="0" applyFont="1" applyFill="1" applyBorder="1" applyAlignment="1">
      <alignment horizontal="center" vertical="center"/>
    </xf>
    <xf numFmtId="0" fontId="10" fillId="0" borderId="0" xfId="4" applyFill="1" applyAlignment="1">
      <alignment horizontal="center"/>
    </xf>
    <xf numFmtId="0" fontId="0" fillId="0" borderId="81" xfId="0" applyBorder="1"/>
    <xf numFmtId="0" fontId="0" fillId="0" borderId="21" xfId="0" applyBorder="1"/>
    <xf numFmtId="0" fontId="4" fillId="0" borderId="94" xfId="0" applyFont="1" applyBorder="1" applyAlignment="1">
      <alignment horizontal="center" vertical="center"/>
    </xf>
    <xf numFmtId="3" fontId="0" fillId="23" borderId="71" xfId="0" applyNumberFormat="1" applyFill="1" applyBorder="1" applyAlignment="1">
      <alignment horizontal="center"/>
    </xf>
    <xf numFmtId="3" fontId="0" fillId="23" borderId="81" xfId="0" applyNumberFormat="1" applyFill="1" applyBorder="1" applyAlignment="1">
      <alignment horizontal="center"/>
    </xf>
    <xf numFmtId="3" fontId="0" fillId="0" borderId="76" xfId="0" applyNumberFormat="1" applyBorder="1" applyAlignment="1">
      <alignment horizontal="center"/>
    </xf>
    <xf numFmtId="3" fontId="0" fillId="0" borderId="66" xfId="0" applyNumberFormat="1" applyBorder="1" applyAlignment="1">
      <alignment horizontal="center"/>
    </xf>
    <xf numFmtId="0" fontId="39" fillId="0" borderId="0" xfId="0" applyFont="1" applyAlignment="1">
      <alignment horizontal="left" vertical="top"/>
    </xf>
    <xf numFmtId="0" fontId="39" fillId="0" borderId="0" xfId="0" applyFont="1" applyAlignment="1">
      <alignment horizontal="right"/>
    </xf>
    <xf numFmtId="0" fontId="37" fillId="26" borderId="0" xfId="0" applyFont="1" applyFill="1" applyAlignment="1">
      <alignment horizontal="center" vertical="center"/>
    </xf>
    <xf numFmtId="0" fontId="19" fillId="0" borderId="0" xfId="0" applyFont="1" applyAlignment="1">
      <alignment horizontal="center" vertical="center"/>
    </xf>
    <xf numFmtId="0" fontId="18" fillId="0" borderId="0" xfId="0" applyFont="1" applyAlignment="1">
      <alignment horizontal="center"/>
    </xf>
    <xf numFmtId="2" fontId="19" fillId="0" borderId="0" xfId="0" applyNumberFormat="1" applyFont="1" applyAlignment="1">
      <alignment horizontal="center" vertical="center"/>
    </xf>
    <xf numFmtId="0" fontId="39" fillId="0" borderId="0" xfId="0" applyFont="1" applyAlignment="1">
      <alignment horizontal="center" vertical="center"/>
    </xf>
    <xf numFmtId="0" fontId="39" fillId="26" borderId="0" xfId="0" applyFont="1" applyFill="1"/>
    <xf numFmtId="1" fontId="39" fillId="28" borderId="14" xfId="0" applyNumberFormat="1" applyFont="1" applyFill="1" applyBorder="1" applyAlignment="1">
      <alignment horizontal="center" vertical="center"/>
    </xf>
    <xf numFmtId="0" fontId="40" fillId="5" borderId="89" xfId="0" applyFont="1" applyFill="1" applyBorder="1" applyAlignment="1">
      <alignment horizontal="center" vertical="center" wrapText="1"/>
    </xf>
    <xf numFmtId="0" fontId="40" fillId="5" borderId="90" xfId="0" applyFont="1" applyFill="1" applyBorder="1" applyAlignment="1">
      <alignment horizontal="center" vertical="center" wrapText="1"/>
    </xf>
    <xf numFmtId="0" fontId="41" fillId="27" borderId="91" xfId="0" applyFont="1" applyFill="1" applyBorder="1" applyAlignment="1">
      <alignment vertical="center" wrapText="1"/>
    </xf>
    <xf numFmtId="0" fontId="41" fillId="3" borderId="91" xfId="0" applyFont="1" applyFill="1" applyBorder="1" applyAlignment="1">
      <alignment vertical="center" wrapText="1"/>
    </xf>
    <xf numFmtId="0" fontId="41" fillId="27" borderId="92" xfId="0" applyFont="1" applyFill="1" applyBorder="1" applyAlignment="1">
      <alignment vertical="center" wrapText="1"/>
    </xf>
    <xf numFmtId="0" fontId="18" fillId="5" borderId="84" xfId="0" applyFont="1" applyFill="1" applyBorder="1" applyAlignment="1">
      <alignment horizontal="center" vertical="center" wrapText="1"/>
    </xf>
    <xf numFmtId="0" fontId="18" fillId="5" borderId="17" xfId="0" applyFont="1" applyFill="1" applyBorder="1" applyAlignment="1">
      <alignment horizontal="center" vertical="center" wrapText="1"/>
    </xf>
    <xf numFmtId="0" fontId="18" fillId="5" borderId="78" xfId="0" applyFont="1" applyFill="1" applyBorder="1" applyAlignment="1">
      <alignment horizontal="center" vertical="center" wrapText="1"/>
    </xf>
    <xf numFmtId="0" fontId="18" fillId="5" borderId="86" xfId="0" applyFont="1" applyFill="1" applyBorder="1" applyAlignment="1">
      <alignment horizontal="center" vertical="center" wrapText="1"/>
    </xf>
    <xf numFmtId="165" fontId="0" fillId="0" borderId="1" xfId="0" applyNumberFormat="1" applyBorder="1" applyAlignment="1">
      <alignment horizontal="center"/>
    </xf>
    <xf numFmtId="0" fontId="0" fillId="0" borderId="1" xfId="0" applyBorder="1" applyAlignment="1">
      <alignment horizontal="center" vertical="center" wrapText="1"/>
    </xf>
    <xf numFmtId="0" fontId="0" fillId="0" borderId="5" xfId="0" applyBorder="1" applyAlignment="1">
      <alignment horizontal="center" vertical="center" wrapText="1"/>
    </xf>
    <xf numFmtId="0" fontId="4" fillId="5" borderId="27" xfId="0" applyFont="1" applyFill="1" applyBorder="1" applyAlignment="1">
      <alignment horizontal="center" vertical="center"/>
    </xf>
    <xf numFmtId="0" fontId="0" fillId="0" borderId="9" xfId="0" applyBorder="1" applyAlignment="1">
      <alignment horizontal="center"/>
    </xf>
    <xf numFmtId="0" fontId="0" fillId="5" borderId="26" xfId="0" applyFill="1" applyBorder="1" applyAlignment="1">
      <alignment horizontal="center"/>
    </xf>
    <xf numFmtId="0" fontId="33" fillId="17" borderId="23" xfId="0" applyFont="1" applyFill="1" applyBorder="1" applyAlignment="1">
      <alignment horizontal="center" wrapText="1"/>
    </xf>
    <xf numFmtId="171" fontId="18" fillId="17" borderId="18" xfId="0" applyNumberFormat="1" applyFont="1" applyFill="1" applyBorder="1" applyAlignment="1">
      <alignment horizontal="center" wrapText="1"/>
    </xf>
    <xf numFmtId="0" fontId="39" fillId="0" borderId="80" xfId="0" quotePrefix="1" applyFont="1" applyBorder="1" applyAlignment="1">
      <alignment horizontal="center" vertical="center"/>
    </xf>
    <xf numFmtId="0" fontId="39" fillId="0" borderId="53" xfId="0" quotePrefix="1" applyFont="1" applyBorder="1" applyAlignment="1">
      <alignment horizontal="center" vertical="center"/>
    </xf>
    <xf numFmtId="0" fontId="18" fillId="0" borderId="0" xfId="0" applyFont="1" applyAlignment="1">
      <alignment horizontal="center" vertical="center" wrapText="1"/>
    </xf>
    <xf numFmtId="0" fontId="39" fillId="0" borderId="54" xfId="0" quotePrefix="1" applyFont="1" applyBorder="1" applyAlignment="1">
      <alignment horizontal="center" vertical="center"/>
    </xf>
    <xf numFmtId="0" fontId="39" fillId="0" borderId="66" xfId="0" quotePrefix="1" applyFont="1" applyBorder="1" applyAlignment="1">
      <alignment horizontal="center" vertical="center"/>
    </xf>
    <xf numFmtId="0" fontId="42" fillId="0" borderId="80" xfId="0" quotePrefix="1" applyFont="1" applyBorder="1" applyAlignment="1">
      <alignment horizontal="center" vertical="center"/>
    </xf>
    <xf numFmtId="0" fontId="42" fillId="0" borderId="53" xfId="0" quotePrefix="1" applyFont="1" applyBorder="1" applyAlignment="1">
      <alignment horizontal="center" vertical="center"/>
    </xf>
    <xf numFmtId="0" fontId="42" fillId="0" borderId="54" xfId="0" quotePrefix="1" applyFont="1" applyBorder="1" applyAlignment="1">
      <alignment horizontal="center" vertical="center"/>
    </xf>
    <xf numFmtId="0" fontId="42" fillId="0" borderId="66" xfId="0" quotePrefix="1" applyFont="1" applyBorder="1" applyAlignment="1">
      <alignment horizontal="center" vertical="center"/>
    </xf>
    <xf numFmtId="0" fontId="43" fillId="0" borderId="80" xfId="0" quotePrefix="1" applyFont="1" applyBorder="1" applyAlignment="1">
      <alignment horizontal="center" vertical="center"/>
    </xf>
    <xf numFmtId="0" fontId="43" fillId="0" borderId="54" xfId="0" quotePrefix="1" applyFont="1" applyBorder="1" applyAlignment="1">
      <alignment horizontal="center" vertical="center"/>
    </xf>
    <xf numFmtId="0" fontId="43" fillId="0" borderId="66" xfId="0" quotePrefix="1" applyFont="1" applyBorder="1" applyAlignment="1">
      <alignment horizontal="center" vertical="center"/>
    </xf>
    <xf numFmtId="0" fontId="43" fillId="0" borderId="53" xfId="0" quotePrefix="1" applyFont="1" applyBorder="1" applyAlignment="1">
      <alignment horizontal="center" vertical="center"/>
    </xf>
    <xf numFmtId="0" fontId="39" fillId="31" borderId="17" xfId="0" applyFont="1" applyFill="1" applyBorder="1" applyAlignment="1">
      <alignment horizontal="center" vertical="center" textRotation="90" wrapText="1"/>
    </xf>
    <xf numFmtId="0" fontId="39" fillId="31" borderId="25" xfId="0" applyFont="1" applyFill="1" applyBorder="1" applyAlignment="1">
      <alignment horizontal="center" vertical="center" textRotation="90" wrapText="1"/>
    </xf>
    <xf numFmtId="0" fontId="39" fillId="31" borderId="26" xfId="0" applyFont="1" applyFill="1" applyBorder="1" applyAlignment="1">
      <alignment horizontal="center" vertical="center" textRotation="90" wrapText="1"/>
    </xf>
    <xf numFmtId="0" fontId="39" fillId="6" borderId="83" xfId="0" applyFont="1" applyFill="1" applyBorder="1" applyAlignment="1">
      <alignment horizontal="center" vertical="center"/>
    </xf>
    <xf numFmtId="2" fontId="39" fillId="6" borderId="71" xfId="0" applyNumberFormat="1" applyFont="1" applyFill="1" applyBorder="1" applyAlignment="1">
      <alignment horizontal="center" vertical="center"/>
    </xf>
    <xf numFmtId="0" fontId="39" fillId="6" borderId="72" xfId="0" applyFont="1" applyFill="1" applyBorder="1" applyAlignment="1">
      <alignment horizontal="center" vertical="center"/>
    </xf>
    <xf numFmtId="1" fontId="0" fillId="0" borderId="1" xfId="0" applyNumberFormat="1" applyBorder="1" applyAlignment="1">
      <alignment horizontal="center" vertical="center"/>
    </xf>
    <xf numFmtId="1" fontId="0" fillId="0" borderId="15" xfId="0" applyNumberFormat="1" applyBorder="1" applyAlignment="1">
      <alignment horizontal="center" vertical="center"/>
    </xf>
    <xf numFmtId="9" fontId="0" fillId="0" borderId="70" xfId="2" applyFont="1" applyBorder="1"/>
    <xf numFmtId="9" fontId="0" fillId="0" borderId="71" xfId="2" applyFont="1" applyBorder="1"/>
    <xf numFmtId="9" fontId="4" fillId="19" borderId="71" xfId="2" applyFont="1" applyFill="1" applyBorder="1"/>
    <xf numFmtId="9" fontId="0" fillId="0" borderId="71" xfId="2" applyFont="1" applyFill="1" applyBorder="1"/>
    <xf numFmtId="9" fontId="4" fillId="19" borderId="72" xfId="2" applyFont="1" applyFill="1" applyBorder="1"/>
    <xf numFmtId="0" fontId="4" fillId="5" borderId="14" xfId="0" applyFont="1" applyFill="1" applyBorder="1"/>
    <xf numFmtId="167" fontId="4" fillId="5" borderId="14" xfId="0" applyNumberFormat="1" applyFont="1" applyFill="1" applyBorder="1"/>
    <xf numFmtId="165" fontId="4" fillId="0" borderId="21" xfId="1" applyFont="1" applyBorder="1" applyAlignment="1">
      <alignment horizontal="center"/>
    </xf>
    <xf numFmtId="0" fontId="18" fillId="5" borderId="88" xfId="0" applyFont="1" applyFill="1" applyBorder="1" applyAlignment="1">
      <alignment horizontal="center" vertical="center" wrapText="1"/>
    </xf>
    <xf numFmtId="0" fontId="39" fillId="0" borderId="96" xfId="0" quotePrefix="1" applyFont="1" applyBorder="1" applyAlignment="1">
      <alignment horizontal="center" vertical="center"/>
    </xf>
    <xf numFmtId="0" fontId="39" fillId="0" borderId="68" xfId="0" quotePrefix="1" applyFont="1" applyBorder="1" applyAlignment="1">
      <alignment horizontal="center" vertical="center"/>
    </xf>
    <xf numFmtId="0" fontId="42" fillId="0" borderId="96" xfId="0" quotePrefix="1" applyFont="1" applyBorder="1" applyAlignment="1">
      <alignment horizontal="center" vertical="center"/>
    </xf>
    <xf numFmtId="0" fontId="42" fillId="0" borderId="68" xfId="0" quotePrefix="1" applyFont="1" applyBorder="1" applyAlignment="1">
      <alignment horizontal="center" vertical="center"/>
    </xf>
    <xf numFmtId="0" fontId="43" fillId="0" borderId="96" xfId="0" quotePrefix="1" applyFont="1" applyBorder="1" applyAlignment="1">
      <alignment horizontal="center" vertical="center"/>
    </xf>
    <xf numFmtId="0" fontId="43" fillId="0" borderId="68" xfId="0" quotePrefix="1" applyFont="1" applyBorder="1" applyAlignment="1">
      <alignment horizontal="center" vertical="center"/>
    </xf>
    <xf numFmtId="0" fontId="43" fillId="0" borderId="34" xfId="0" quotePrefix="1" applyFont="1" applyBorder="1" applyAlignment="1">
      <alignment horizontal="center" vertical="center"/>
    </xf>
    <xf numFmtId="0" fontId="43" fillId="0" borderId="93" xfId="0" quotePrefix="1" applyFont="1" applyBorder="1" applyAlignment="1">
      <alignment horizontal="center" vertical="center"/>
    </xf>
    <xf numFmtId="0" fontId="39" fillId="0" borderId="34" xfId="0" quotePrefix="1" applyFont="1" applyBorder="1" applyAlignment="1">
      <alignment horizontal="center" vertical="center"/>
    </xf>
    <xf numFmtId="0" fontId="39" fillId="0" borderId="93" xfId="0" quotePrefix="1" applyFont="1" applyBorder="1" applyAlignment="1">
      <alignment horizontal="center" vertical="center"/>
    </xf>
    <xf numFmtId="0" fontId="42" fillId="0" borderId="34" xfId="0" quotePrefix="1" applyFont="1" applyBorder="1" applyAlignment="1">
      <alignment horizontal="center" vertical="center"/>
    </xf>
    <xf numFmtId="0" fontId="42" fillId="0" borderId="93" xfId="0" quotePrefix="1" applyFont="1" applyBorder="1" applyAlignment="1">
      <alignment horizontal="center" vertical="center"/>
    </xf>
    <xf numFmtId="0" fontId="43" fillId="0" borderId="22" xfId="0" quotePrefix="1" applyFont="1" applyBorder="1" applyAlignment="1">
      <alignment horizontal="center" vertical="center"/>
    </xf>
    <xf numFmtId="0" fontId="39" fillId="0" borderId="31" xfId="0" quotePrefix="1" applyFont="1" applyBorder="1" applyAlignment="1">
      <alignment horizontal="center" vertical="center"/>
    </xf>
    <xf numFmtId="0" fontId="39" fillId="0" borderId="94" xfId="0" quotePrefix="1" applyFont="1" applyBorder="1" applyAlignment="1">
      <alignment horizontal="center" vertical="center"/>
    </xf>
    <xf numFmtId="0" fontId="42" fillId="0" borderId="31" xfId="0" quotePrefix="1" applyFont="1" applyBorder="1" applyAlignment="1">
      <alignment horizontal="center" vertical="center"/>
    </xf>
    <xf numFmtId="0" fontId="39" fillId="0" borderId="9" xfId="0" quotePrefix="1" applyFont="1" applyBorder="1" applyAlignment="1">
      <alignment horizontal="center" vertical="center"/>
    </xf>
    <xf numFmtId="0" fontId="42" fillId="0" borderId="22" xfId="0" quotePrefix="1" applyFont="1" applyBorder="1" applyAlignment="1">
      <alignment horizontal="center" vertical="center"/>
    </xf>
    <xf numFmtId="0" fontId="43" fillId="0" borderId="33" xfId="0" quotePrefix="1" applyFont="1" applyBorder="1" applyAlignment="1">
      <alignment horizontal="center" vertical="center"/>
    </xf>
    <xf numFmtId="0" fontId="43" fillId="0" borderId="79" xfId="0" quotePrefix="1" applyFont="1" applyBorder="1" applyAlignment="1">
      <alignment horizontal="center" vertical="center"/>
    </xf>
    <xf numFmtId="0" fontId="39" fillId="0" borderId="33" xfId="0" quotePrefix="1" applyFont="1" applyBorder="1" applyAlignment="1">
      <alignment horizontal="center" vertical="center"/>
    </xf>
    <xf numFmtId="0" fontId="39" fillId="0" borderId="79" xfId="0" quotePrefix="1" applyFont="1" applyBorder="1" applyAlignment="1">
      <alignment horizontal="center" vertical="center"/>
    </xf>
    <xf numFmtId="0" fontId="43" fillId="0" borderId="45" xfId="0" quotePrefix="1" applyFont="1" applyBorder="1" applyAlignment="1">
      <alignment horizontal="center" vertical="center"/>
    </xf>
    <xf numFmtId="0" fontId="42" fillId="0" borderId="94" xfId="0" quotePrefix="1" applyFont="1" applyBorder="1" applyAlignment="1">
      <alignment horizontal="center" vertical="center"/>
    </xf>
    <xf numFmtId="0" fontId="42" fillId="0" borderId="9" xfId="0" quotePrefix="1" applyFont="1" applyBorder="1" applyAlignment="1">
      <alignment horizontal="center" vertical="center"/>
    </xf>
    <xf numFmtId="0" fontId="39" fillId="0" borderId="22" xfId="0" quotePrefix="1" applyFont="1" applyBorder="1" applyAlignment="1">
      <alignment horizontal="center" vertical="center"/>
    </xf>
    <xf numFmtId="9" fontId="0" fillId="0" borderId="4" xfId="0" applyNumberFormat="1" applyBorder="1" applyAlignment="1">
      <alignment horizontal="center"/>
    </xf>
    <xf numFmtId="9" fontId="0" fillId="0" borderId="5" xfId="0" applyNumberFormat="1" applyBorder="1" applyAlignment="1">
      <alignment horizontal="center"/>
    </xf>
    <xf numFmtId="9" fontId="0" fillId="0" borderId="6" xfId="0" applyNumberFormat="1" applyBorder="1" applyAlignment="1">
      <alignment horizontal="center"/>
    </xf>
    <xf numFmtId="0" fontId="4" fillId="5" borderId="27" xfId="0" applyFont="1" applyFill="1" applyBorder="1" applyAlignment="1">
      <alignment horizontal="center"/>
    </xf>
    <xf numFmtId="9" fontId="0" fillId="0" borderId="63" xfId="2" applyFont="1" applyBorder="1"/>
    <xf numFmtId="9" fontId="0" fillId="0" borderId="64" xfId="2" applyFont="1" applyBorder="1"/>
    <xf numFmtId="9" fontId="4" fillId="19" borderId="64" xfId="2" applyFont="1" applyFill="1" applyBorder="1"/>
    <xf numFmtId="9" fontId="4" fillId="19" borderId="65" xfId="2" applyFont="1" applyFill="1" applyBorder="1"/>
    <xf numFmtId="0" fontId="55" fillId="4" borderId="14" xfId="0" applyFont="1" applyFill="1" applyBorder="1" applyAlignment="1">
      <alignment horizontal="center" vertical="center"/>
    </xf>
    <xf numFmtId="0" fontId="53" fillId="4" borderId="22" xfId="0" applyFont="1" applyFill="1" applyBorder="1" applyAlignment="1">
      <alignment horizontal="center" vertical="center"/>
    </xf>
    <xf numFmtId="0" fontId="53" fillId="4" borderId="14" xfId="0" applyFont="1" applyFill="1" applyBorder="1" applyAlignment="1">
      <alignment horizontal="center" vertical="center"/>
    </xf>
    <xf numFmtId="0" fontId="2" fillId="2" borderId="49" xfId="0" applyFont="1" applyFill="1" applyBorder="1"/>
    <xf numFmtId="3" fontId="7" fillId="3" borderId="50" xfId="3" applyNumberFormat="1" applyFont="1" applyFill="1" applyBorder="1" applyAlignment="1">
      <alignment horizontal="center"/>
    </xf>
    <xf numFmtId="0" fontId="1" fillId="5" borderId="38" xfId="0" applyFont="1" applyFill="1" applyBorder="1" applyAlignment="1">
      <alignment horizontal="center"/>
    </xf>
    <xf numFmtId="3" fontId="0" fillId="5" borderId="22" xfId="0" applyNumberFormat="1" applyFill="1" applyBorder="1" applyAlignment="1">
      <alignment horizontal="center"/>
    </xf>
    <xf numFmtId="3" fontId="0" fillId="0" borderId="50" xfId="0" applyNumberFormat="1" applyBorder="1" applyAlignment="1">
      <alignment horizontal="center"/>
    </xf>
    <xf numFmtId="0" fontId="2" fillId="2" borderId="15" xfId="0" applyFont="1" applyFill="1" applyBorder="1" applyAlignment="1">
      <alignment horizontal="center"/>
    </xf>
    <xf numFmtId="166" fontId="2" fillId="2" borderId="66" xfId="0" applyNumberFormat="1" applyFont="1" applyFill="1" applyBorder="1" applyAlignment="1">
      <alignment horizontal="center"/>
    </xf>
    <xf numFmtId="2" fontId="0" fillId="0" borderId="15" xfId="0" applyNumberFormat="1" applyBorder="1" applyAlignment="1">
      <alignment horizontal="center"/>
    </xf>
    <xf numFmtId="166" fontId="0" fillId="0" borderId="15" xfId="0" applyNumberFormat="1" applyBorder="1" applyAlignment="1">
      <alignment horizontal="center"/>
    </xf>
    <xf numFmtId="1" fontId="0" fillId="0" borderId="0" xfId="0" applyNumberFormat="1"/>
    <xf numFmtId="3" fontId="0" fillId="0" borderId="0" xfId="0" applyNumberFormat="1" applyAlignment="1">
      <alignment horizontal="center"/>
    </xf>
    <xf numFmtId="0" fontId="8" fillId="0" borderId="1" xfId="0" applyFont="1" applyBorder="1" applyAlignment="1">
      <alignment horizontal="center" vertical="center" wrapText="1"/>
    </xf>
    <xf numFmtId="0" fontId="9" fillId="5" borderId="4" xfId="0" applyFont="1" applyFill="1" applyBorder="1" applyAlignment="1">
      <alignment horizontal="center" vertical="center" wrapText="1"/>
    </xf>
    <xf numFmtId="0" fontId="0" fillId="0" borderId="39" xfId="0" applyBorder="1" applyAlignment="1">
      <alignment horizontal="center" vertical="center" wrapText="1"/>
    </xf>
    <xf numFmtId="0" fontId="9" fillId="5" borderId="12" xfId="0" applyFont="1" applyFill="1" applyBorder="1" applyAlignment="1">
      <alignment horizontal="center" vertical="center" wrapText="1"/>
    </xf>
    <xf numFmtId="9" fontId="0" fillId="0" borderId="12" xfId="0" applyNumberFormat="1" applyBorder="1" applyAlignment="1">
      <alignment horizontal="center" vertical="center" wrapText="1"/>
    </xf>
    <xf numFmtId="9" fontId="0" fillId="0" borderId="80" xfId="0" applyNumberFormat="1" applyBorder="1" applyAlignment="1">
      <alignment horizontal="center" vertical="center" wrapText="1"/>
    </xf>
    <xf numFmtId="9" fontId="9" fillId="5" borderId="73" xfId="0" applyNumberFormat="1" applyFont="1" applyFill="1" applyBorder="1" applyAlignment="1">
      <alignment horizontal="center" vertical="center" wrapText="1"/>
    </xf>
    <xf numFmtId="0" fontId="9" fillId="5" borderId="40" xfId="0" applyFont="1" applyFill="1" applyBorder="1" applyAlignment="1">
      <alignment horizontal="center" vertical="center" wrapText="1"/>
    </xf>
    <xf numFmtId="0" fontId="0" fillId="0" borderId="40" xfId="0" applyBorder="1" applyAlignment="1">
      <alignment horizontal="center" vertical="center" wrapText="1"/>
    </xf>
    <xf numFmtId="0" fontId="0" fillId="0" borderId="54" xfId="0" applyBorder="1" applyAlignment="1">
      <alignment horizontal="center" vertical="center" wrapText="1"/>
    </xf>
    <xf numFmtId="0" fontId="0" fillId="0" borderId="4" xfId="0" applyBorder="1" applyAlignment="1">
      <alignment horizontal="center" vertical="center" wrapText="1"/>
    </xf>
    <xf numFmtId="0" fontId="0" fillId="0" borderId="50" xfId="0" applyBorder="1" applyAlignment="1">
      <alignment horizontal="center" vertical="center" wrapText="1"/>
    </xf>
    <xf numFmtId="0" fontId="15" fillId="6" borderId="0" xfId="4" applyFont="1" applyFill="1"/>
    <xf numFmtId="49" fontId="19" fillId="3" borderId="6" xfId="103" applyNumberFormat="1" applyFont="1" applyFill="1" applyBorder="1" applyAlignment="1">
      <alignment horizontal="center" vertical="center"/>
    </xf>
    <xf numFmtId="49" fontId="19" fillId="3" borderId="5" xfId="103" applyNumberFormat="1" applyFont="1" applyFill="1" applyBorder="1" applyAlignment="1">
      <alignment horizontal="center" vertical="center"/>
    </xf>
    <xf numFmtId="1" fontId="19" fillId="0" borderId="5" xfId="0" applyNumberFormat="1" applyFont="1" applyBorder="1" applyAlignment="1">
      <alignment horizontal="center"/>
    </xf>
    <xf numFmtId="166" fontId="19" fillId="0" borderId="5" xfId="0" applyNumberFormat="1" applyFont="1" applyBorder="1" applyAlignment="1">
      <alignment horizontal="center"/>
    </xf>
    <xf numFmtId="166" fontId="19" fillId="3" borderId="5" xfId="0" applyNumberFormat="1" applyFont="1" applyFill="1" applyBorder="1" applyAlignment="1">
      <alignment horizontal="center"/>
    </xf>
    <xf numFmtId="2" fontId="19" fillId="0" borderId="5" xfId="0" applyNumberFormat="1" applyFont="1" applyBorder="1" applyAlignment="1">
      <alignment horizontal="center"/>
    </xf>
    <xf numFmtId="0" fontId="19" fillId="0" borderId="5" xfId="0" applyFont="1" applyBorder="1"/>
    <xf numFmtId="49" fontId="19" fillId="3" borderId="4" xfId="103" applyNumberFormat="1" applyFont="1" applyFill="1" applyBorder="1" applyAlignment="1">
      <alignment horizontal="center" vertical="center"/>
    </xf>
    <xf numFmtId="49" fontId="19" fillId="3" borderId="1" xfId="103" applyNumberFormat="1" applyFont="1" applyFill="1" applyBorder="1" applyAlignment="1">
      <alignment horizontal="center" vertical="center"/>
    </xf>
    <xf numFmtId="1" fontId="19" fillId="0" borderId="1" xfId="0" applyNumberFormat="1" applyFont="1" applyBorder="1" applyAlignment="1">
      <alignment horizontal="center"/>
    </xf>
    <xf numFmtId="166" fontId="19" fillId="0" borderId="1" xfId="0" applyNumberFormat="1" applyFont="1" applyBorder="1" applyAlignment="1">
      <alignment horizontal="center"/>
    </xf>
    <xf numFmtId="166" fontId="19" fillId="3" borderId="1" xfId="0" applyNumberFormat="1" applyFont="1" applyFill="1" applyBorder="1" applyAlignment="1">
      <alignment horizontal="center"/>
    </xf>
    <xf numFmtId="2" fontId="19" fillId="0" borderId="1" xfId="0" applyNumberFormat="1" applyFont="1" applyBorder="1" applyAlignment="1">
      <alignment horizontal="center"/>
    </xf>
    <xf numFmtId="0" fontId="19" fillId="0" borderId="1" xfId="0" applyFont="1" applyBorder="1"/>
    <xf numFmtId="0" fontId="19" fillId="0" borderId="4" xfId="0" applyFont="1" applyBorder="1" applyAlignment="1">
      <alignment horizontal="center"/>
    </xf>
    <xf numFmtId="0" fontId="19" fillId="0" borderId="14" xfId="0" applyFont="1" applyBorder="1"/>
    <xf numFmtId="0" fontId="19" fillId="3" borderId="10" xfId="0" applyFont="1" applyFill="1" applyBorder="1" applyAlignment="1">
      <alignment horizontal="center"/>
    </xf>
    <xf numFmtId="166" fontId="19" fillId="3" borderId="1" xfId="0" applyNumberFormat="1" applyFont="1" applyFill="1" applyBorder="1"/>
    <xf numFmtId="2" fontId="19" fillId="3" borderId="1" xfId="0" applyNumberFormat="1" applyFont="1" applyFill="1" applyBorder="1"/>
    <xf numFmtId="0" fontId="19" fillId="3" borderId="11" xfId="0" applyFont="1" applyFill="1" applyBorder="1" applyAlignment="1">
      <alignment horizontal="center"/>
    </xf>
    <xf numFmtId="166" fontId="19" fillId="3" borderId="5" xfId="0" applyNumberFormat="1" applyFont="1" applyFill="1" applyBorder="1"/>
    <xf numFmtId="2" fontId="19" fillId="3" borderId="5" xfId="0" applyNumberFormat="1" applyFont="1" applyFill="1" applyBorder="1"/>
    <xf numFmtId="0" fontId="18" fillId="5" borderId="2" xfId="0" applyFont="1" applyFill="1" applyBorder="1" applyAlignment="1">
      <alignment horizontal="center" vertical="center" wrapText="1"/>
    </xf>
    <xf numFmtId="0" fontId="18" fillId="5" borderId="16" xfId="0" applyFont="1" applyFill="1" applyBorder="1" applyAlignment="1">
      <alignment horizontal="center" vertical="center" wrapText="1"/>
    </xf>
    <xf numFmtId="0" fontId="18" fillId="5" borderId="3" xfId="0" applyFont="1" applyFill="1" applyBorder="1" applyAlignment="1">
      <alignment horizontal="center" vertical="center" wrapText="1"/>
    </xf>
    <xf numFmtId="0" fontId="19" fillId="5" borderId="14" xfId="0" applyFont="1" applyFill="1" applyBorder="1" applyAlignment="1">
      <alignment horizontal="center"/>
    </xf>
    <xf numFmtId="166" fontId="0" fillId="0" borderId="1" xfId="0" applyNumberFormat="1" applyBorder="1" applyAlignment="1">
      <alignment horizontal="center" vertical="center"/>
    </xf>
    <xf numFmtId="0" fontId="37" fillId="0" borderId="0" xfId="0" applyFont="1" applyAlignment="1">
      <alignment horizontal="center"/>
    </xf>
    <xf numFmtId="0" fontId="0" fillId="5" borderId="0" xfId="0" applyFill="1"/>
    <xf numFmtId="0" fontId="37" fillId="0" borderId="5" xfId="0" applyFont="1" applyBorder="1" applyAlignment="1">
      <alignment horizontal="center"/>
    </xf>
    <xf numFmtId="0" fontId="37" fillId="0" borderId="1" xfId="0" applyFont="1" applyBorder="1" applyAlignment="1">
      <alignment horizontal="center"/>
    </xf>
    <xf numFmtId="0" fontId="0" fillId="5" borderId="0" xfId="0" applyFill="1" applyAlignment="1">
      <alignment horizontal="center"/>
    </xf>
    <xf numFmtId="0" fontId="9" fillId="0" borderId="10" xfId="0" applyFont="1" applyBorder="1" applyAlignment="1">
      <alignment vertical="center" wrapText="1"/>
    </xf>
    <xf numFmtId="0" fontId="9" fillId="0" borderId="20" xfId="0" applyFont="1" applyBorder="1" applyAlignment="1">
      <alignment vertical="center" wrapText="1"/>
    </xf>
    <xf numFmtId="0" fontId="9" fillId="0" borderId="11" xfId="0" applyFont="1" applyBorder="1" applyAlignment="1">
      <alignment vertical="center" wrapText="1"/>
    </xf>
    <xf numFmtId="0" fontId="5" fillId="5" borderId="17" xfId="0" applyFont="1" applyFill="1" applyBorder="1" applyAlignment="1">
      <alignment horizontal="center" vertical="center"/>
    </xf>
    <xf numFmtId="0" fontId="5" fillId="5" borderId="26" xfId="0" applyFont="1" applyFill="1" applyBorder="1" applyAlignment="1">
      <alignment horizontal="center" vertical="center"/>
    </xf>
    <xf numFmtId="0" fontId="0" fillId="5" borderId="0" xfId="0" applyFill="1" applyAlignment="1">
      <alignment wrapText="1"/>
    </xf>
    <xf numFmtId="0" fontId="23" fillId="5" borderId="0" xfId="0" applyFont="1" applyFill="1" applyAlignment="1">
      <alignment wrapText="1"/>
    </xf>
    <xf numFmtId="0" fontId="9" fillId="0" borderId="11" xfId="0" applyFont="1" applyBorder="1" applyAlignment="1">
      <alignment horizontal="left" vertical="center" wrapText="1"/>
    </xf>
    <xf numFmtId="0" fontId="9" fillId="0" borderId="10" xfId="0" applyFont="1" applyBorder="1" applyAlignment="1">
      <alignment horizontal="left" vertical="center" wrapText="1"/>
    </xf>
    <xf numFmtId="0" fontId="0" fillId="0" borderId="26" xfId="0" applyBorder="1" applyAlignment="1">
      <alignment horizontal="center" vertical="center"/>
    </xf>
    <xf numFmtId="0" fontId="0" fillId="0" borderId="25" xfId="0" applyBorder="1" applyAlignment="1">
      <alignment horizontal="center"/>
    </xf>
    <xf numFmtId="0" fontId="8" fillId="0" borderId="25" xfId="0" applyFont="1" applyBorder="1" applyAlignment="1">
      <alignment horizontal="center" vertical="center"/>
    </xf>
    <xf numFmtId="0" fontId="8" fillId="0" borderId="51" xfId="0" applyFont="1" applyBorder="1" applyAlignment="1">
      <alignment horizontal="center" vertical="center"/>
    </xf>
    <xf numFmtId="0" fontId="9" fillId="0" borderId="14" xfId="0" applyFont="1" applyBorder="1" applyAlignment="1">
      <alignment vertical="center" wrapText="1"/>
    </xf>
    <xf numFmtId="0" fontId="8" fillId="0" borderId="62" xfId="0" applyFont="1" applyBorder="1" applyAlignment="1">
      <alignment horizontal="center" vertical="center"/>
    </xf>
    <xf numFmtId="0" fontId="8" fillId="0" borderId="16" xfId="0" applyFont="1" applyBorder="1" applyAlignment="1">
      <alignment horizontal="center" vertical="center"/>
    </xf>
    <xf numFmtId="0" fontId="8" fillId="0" borderId="67" xfId="0" applyFont="1" applyBorder="1" applyAlignment="1">
      <alignment horizontal="center" vertical="center"/>
    </xf>
    <xf numFmtId="0" fontId="4" fillId="5" borderId="14" xfId="0" applyFont="1" applyFill="1" applyBorder="1" applyAlignment="1">
      <alignment horizontal="center" vertical="center"/>
    </xf>
    <xf numFmtId="0" fontId="4" fillId="5" borderId="51" xfId="0" applyFont="1" applyFill="1" applyBorder="1" applyAlignment="1">
      <alignment horizontal="center" vertical="center"/>
    </xf>
    <xf numFmtId="0" fontId="9" fillId="0" borderId="20" xfId="0" applyFont="1" applyBorder="1" applyAlignment="1">
      <alignment horizontal="left" vertical="center" wrapText="1"/>
    </xf>
    <xf numFmtId="2" fontId="8" fillId="0" borderId="40" xfId="0" applyNumberFormat="1" applyFont="1" applyBorder="1" applyAlignment="1">
      <alignment horizontal="center" vertical="center" wrapText="1"/>
    </xf>
    <xf numFmtId="9" fontId="8" fillId="0" borderId="40" xfId="2" applyFont="1" applyBorder="1" applyAlignment="1">
      <alignment horizontal="center" vertical="center" wrapText="1"/>
    </xf>
    <xf numFmtId="2" fontId="8" fillId="0" borderId="41" xfId="0" applyNumberFormat="1" applyFont="1" applyBorder="1" applyAlignment="1">
      <alignment horizontal="center" vertical="center" wrapText="1"/>
    </xf>
    <xf numFmtId="2" fontId="8" fillId="0" borderId="62" xfId="0" applyNumberFormat="1" applyFont="1" applyBorder="1" applyAlignment="1">
      <alignment horizontal="center" vertical="center" wrapText="1"/>
    </xf>
    <xf numFmtId="9" fontId="8" fillId="0" borderId="62" xfId="2" applyFont="1" applyBorder="1" applyAlignment="1">
      <alignment horizontal="center" vertical="center" wrapText="1"/>
    </xf>
    <xf numFmtId="2" fontId="8" fillId="0" borderId="69" xfId="0" applyNumberFormat="1" applyFont="1" applyBorder="1" applyAlignment="1">
      <alignment horizontal="center" vertical="center" wrapText="1"/>
    </xf>
    <xf numFmtId="2" fontId="8" fillId="0" borderId="53" xfId="0" applyNumberFormat="1" applyFont="1" applyBorder="1" applyAlignment="1">
      <alignment horizontal="center" vertical="center" wrapText="1"/>
    </xf>
    <xf numFmtId="9" fontId="8" fillId="0" borderId="53" xfId="2" applyFont="1" applyBorder="1" applyAlignment="1">
      <alignment horizontal="center" vertical="center" wrapText="1"/>
    </xf>
    <xf numFmtId="2" fontId="8" fillId="0" borderId="68" xfId="0" applyNumberFormat="1" applyFont="1" applyBorder="1" applyAlignment="1">
      <alignment horizontal="center" vertical="center" wrapText="1"/>
    </xf>
    <xf numFmtId="0" fontId="4" fillId="5" borderId="67" xfId="0" applyFont="1" applyFill="1" applyBorder="1" applyAlignment="1">
      <alignment horizontal="center" vertical="center" wrapText="1"/>
    </xf>
    <xf numFmtId="0" fontId="4" fillId="5" borderId="93" xfId="0" applyFont="1" applyFill="1" applyBorder="1" applyAlignment="1">
      <alignment horizontal="center" vertical="center"/>
    </xf>
    <xf numFmtId="0" fontId="4" fillId="5" borderId="36" xfId="0" applyFont="1" applyFill="1" applyBorder="1" applyAlignment="1">
      <alignment horizontal="center" vertical="center"/>
    </xf>
    <xf numFmtId="0" fontId="9" fillId="0" borderId="39" xfId="0" applyFont="1" applyBorder="1" applyAlignment="1">
      <alignment horizontal="left" vertical="center" wrapText="1"/>
    </xf>
    <xf numFmtId="2" fontId="8" fillId="0" borderId="49" xfId="0" applyNumberFormat="1" applyFont="1" applyBorder="1" applyAlignment="1">
      <alignment horizontal="center" vertical="center" wrapText="1"/>
    </xf>
    <xf numFmtId="1" fontId="8" fillId="0" borderId="49" xfId="0" applyNumberFormat="1" applyFont="1" applyBorder="1" applyAlignment="1">
      <alignment horizontal="center" vertical="center" wrapText="1"/>
    </xf>
    <xf numFmtId="1" fontId="8" fillId="0" borderId="116" xfId="0" applyNumberFormat="1" applyFont="1" applyBorder="1" applyAlignment="1">
      <alignment horizontal="center" vertical="center" wrapText="1"/>
    </xf>
    <xf numFmtId="1" fontId="8" fillId="0" borderId="5" xfId="0" applyNumberFormat="1" applyFont="1" applyBorder="1" applyAlignment="1">
      <alignment horizontal="center" vertical="center" wrapText="1"/>
    </xf>
    <xf numFmtId="1" fontId="8" fillId="0" borderId="117" xfId="0" applyNumberFormat="1" applyFont="1" applyBorder="1" applyAlignment="1">
      <alignment horizontal="center" vertical="center" wrapText="1"/>
    </xf>
    <xf numFmtId="2" fontId="8" fillId="0" borderId="5" xfId="0" applyNumberFormat="1" applyFont="1" applyBorder="1" applyAlignment="1">
      <alignment horizontal="center" vertical="center" wrapText="1"/>
    </xf>
    <xf numFmtId="1" fontId="8" fillId="0" borderId="6" xfId="0" applyNumberFormat="1" applyFont="1" applyBorder="1" applyAlignment="1">
      <alignment horizontal="center" vertical="center" wrapText="1"/>
    </xf>
    <xf numFmtId="0" fontId="9" fillId="0" borderId="37" xfId="0" applyFont="1" applyBorder="1" applyAlignment="1">
      <alignment horizontal="left" vertical="center" wrapText="1"/>
    </xf>
    <xf numFmtId="2" fontId="8" fillId="0" borderId="35" xfId="0" applyNumberFormat="1" applyFont="1" applyBorder="1" applyAlignment="1">
      <alignment horizontal="center" vertical="center" wrapText="1"/>
    </xf>
    <xf numFmtId="1" fontId="8" fillId="0" borderId="35" xfId="0" applyNumberFormat="1" applyFont="1" applyBorder="1" applyAlignment="1">
      <alignment horizontal="center" vertical="center" wrapText="1"/>
    </xf>
    <xf numFmtId="1" fontId="8" fillId="0" borderId="118" xfId="0" applyNumberFormat="1" applyFont="1" applyBorder="1" applyAlignment="1">
      <alignment horizontal="center" vertical="center" wrapText="1"/>
    </xf>
    <xf numFmtId="1" fontId="8" fillId="0" borderId="119" xfId="0" applyNumberFormat="1" applyFont="1" applyBorder="1" applyAlignment="1">
      <alignment horizontal="center" vertical="center" wrapText="1"/>
    </xf>
    <xf numFmtId="0" fontId="0" fillId="0" borderId="120" xfId="0" applyBorder="1" applyAlignment="1">
      <alignment horizontal="center" vertical="center"/>
    </xf>
    <xf numFmtId="0" fontId="0" fillId="0" borderId="84" xfId="0" applyBorder="1" applyAlignment="1">
      <alignment horizontal="center" vertical="center"/>
    </xf>
    <xf numFmtId="0" fontId="0" fillId="0" borderId="85" xfId="0" applyBorder="1" applyAlignment="1">
      <alignment horizontal="center" vertical="center"/>
    </xf>
    <xf numFmtId="0" fontId="0" fillId="0" borderId="86" xfId="0" applyBorder="1" applyAlignment="1">
      <alignment horizontal="center" vertical="center"/>
    </xf>
    <xf numFmtId="0" fontId="0" fillId="0" borderId="122" xfId="0" applyBorder="1" applyAlignment="1">
      <alignment horizontal="center" vertical="center"/>
    </xf>
    <xf numFmtId="0" fontId="0" fillId="0" borderId="87" xfId="0" applyBorder="1" applyAlignment="1">
      <alignment horizontal="center" vertical="center"/>
    </xf>
    <xf numFmtId="0" fontId="4" fillId="5" borderId="78" xfId="0" applyFont="1" applyFill="1" applyBorder="1" applyAlignment="1">
      <alignment horizontal="center" vertical="center" wrapText="1"/>
    </xf>
    <xf numFmtId="0" fontId="4" fillId="5" borderId="121" xfId="0" applyFont="1" applyFill="1" applyBorder="1" applyAlignment="1">
      <alignment horizontal="center" vertical="center" wrapText="1"/>
    </xf>
    <xf numFmtId="166" fontId="4" fillId="5" borderId="88" xfId="0" applyNumberFormat="1" applyFont="1" applyFill="1" applyBorder="1" applyAlignment="1">
      <alignment horizontal="center" vertical="center" wrapText="1"/>
    </xf>
    <xf numFmtId="0" fontId="4" fillId="5" borderId="123" xfId="0" applyFont="1" applyFill="1" applyBorder="1" applyAlignment="1">
      <alignment horizontal="center" vertical="center" wrapText="1"/>
    </xf>
    <xf numFmtId="166" fontId="4" fillId="5" borderId="123" xfId="0" applyNumberFormat="1" applyFont="1" applyFill="1" applyBorder="1" applyAlignment="1">
      <alignment horizontal="center" vertical="center" wrapText="1"/>
    </xf>
    <xf numFmtId="0" fontId="0" fillId="0" borderId="16" xfId="0" applyBorder="1" applyAlignment="1">
      <alignment vertical="center"/>
    </xf>
    <xf numFmtId="3" fontId="0" fillId="0" borderId="16" xfId="0" applyNumberFormat="1" applyBorder="1" applyAlignment="1">
      <alignment vertical="center"/>
    </xf>
    <xf numFmtId="0" fontId="0" fillId="0" borderId="1" xfId="0" applyBorder="1" applyAlignment="1">
      <alignment vertical="center"/>
    </xf>
    <xf numFmtId="3" fontId="0" fillId="0" borderId="1" xfId="0" applyNumberFormat="1" applyBorder="1" applyAlignment="1">
      <alignment vertical="center"/>
    </xf>
    <xf numFmtId="0" fontId="0" fillId="0" borderId="49" xfId="0" applyBorder="1" applyAlignment="1">
      <alignment vertical="center"/>
    </xf>
    <xf numFmtId="3" fontId="0" fillId="0" borderId="49" xfId="0" applyNumberFormat="1" applyBorder="1" applyAlignment="1">
      <alignment horizontal="center" vertical="center"/>
    </xf>
    <xf numFmtId="3" fontId="0" fillId="0" borderId="49" xfId="0" applyNumberFormat="1" applyBorder="1" applyAlignment="1">
      <alignment vertical="center"/>
    </xf>
    <xf numFmtId="0" fontId="0" fillId="0" borderId="5" xfId="0" applyBorder="1" applyAlignment="1">
      <alignment vertical="center"/>
    </xf>
    <xf numFmtId="3" fontId="0" fillId="0" borderId="5" xfId="0" applyNumberFormat="1" applyBorder="1" applyAlignment="1">
      <alignment vertical="center"/>
    </xf>
    <xf numFmtId="3" fontId="0" fillId="0" borderId="1" xfId="0" applyNumberFormat="1" applyBorder="1" applyAlignment="1">
      <alignment horizontal="right" vertical="center"/>
    </xf>
    <xf numFmtId="0" fontId="0" fillId="0" borderId="5" xfId="0" applyBorder="1"/>
    <xf numFmtId="3" fontId="0" fillId="0" borderId="5" xfId="0" applyNumberFormat="1" applyBorder="1" applyAlignment="1">
      <alignment horizontal="right" vertical="center"/>
    </xf>
    <xf numFmtId="166" fontId="4" fillId="5" borderId="16" xfId="0" applyNumberFormat="1" applyFont="1" applyFill="1" applyBorder="1" applyAlignment="1">
      <alignment horizontal="center" vertical="center" wrapText="1"/>
    </xf>
    <xf numFmtId="166" fontId="4" fillId="5" borderId="3" xfId="0" applyNumberFormat="1" applyFont="1" applyFill="1" applyBorder="1" applyAlignment="1">
      <alignment horizontal="center" vertical="center" wrapText="1"/>
    </xf>
    <xf numFmtId="0" fontId="0" fillId="20" borderId="10" xfId="0" applyFill="1" applyBorder="1" applyAlignment="1">
      <alignment horizontal="center" vertical="center"/>
    </xf>
    <xf numFmtId="0" fontId="0" fillId="20" borderId="1" xfId="0" applyFill="1" applyBorder="1" applyAlignment="1">
      <alignment horizontal="left" vertical="center" wrapText="1"/>
    </xf>
    <xf numFmtId="2" fontId="0" fillId="20" borderId="1" xfId="0" applyNumberFormat="1" applyFill="1" applyBorder="1" applyAlignment="1">
      <alignment horizontal="center" vertical="center"/>
    </xf>
    <xf numFmtId="1" fontId="0" fillId="20" borderId="1" xfId="0" applyNumberFormat="1" applyFill="1" applyBorder="1" applyAlignment="1">
      <alignment horizontal="center" vertical="center"/>
    </xf>
    <xf numFmtId="2" fontId="0" fillId="20" borderId="4" xfId="0" applyNumberFormat="1" applyFill="1" applyBorder="1" applyAlignment="1">
      <alignment horizontal="center" vertical="center"/>
    </xf>
    <xf numFmtId="2" fontId="0" fillId="20" borderId="5" xfId="0" applyNumberFormat="1" applyFill="1" applyBorder="1" applyAlignment="1">
      <alignment horizontal="center" vertical="center"/>
    </xf>
    <xf numFmtId="1" fontId="0" fillId="20" borderId="5" xfId="0" applyNumberFormat="1" applyFill="1" applyBorder="1" applyAlignment="1">
      <alignment horizontal="center" vertical="center"/>
    </xf>
    <xf numFmtId="2" fontId="0" fillId="20" borderId="6" xfId="0" applyNumberFormat="1" applyFill="1" applyBorder="1" applyAlignment="1">
      <alignment horizontal="center" vertical="center"/>
    </xf>
    <xf numFmtId="0" fontId="4" fillId="5" borderId="19" xfId="0" applyFont="1" applyFill="1" applyBorder="1" applyAlignment="1">
      <alignment horizontal="center" vertical="center" wrapText="1"/>
    </xf>
    <xf numFmtId="0" fontId="0" fillId="20" borderId="11" xfId="0" applyFill="1" applyBorder="1" applyAlignment="1">
      <alignment horizontal="center" vertical="center"/>
    </xf>
    <xf numFmtId="0" fontId="0" fillId="20" borderId="5" xfId="0" applyFill="1" applyBorder="1" applyAlignment="1">
      <alignment horizontal="left" vertical="center" wrapText="1"/>
    </xf>
    <xf numFmtId="0" fontId="0" fillId="20" borderId="1" xfId="0" applyFill="1" applyBorder="1" applyAlignment="1">
      <alignment horizontal="center" vertical="center"/>
    </xf>
    <xf numFmtId="0" fontId="0" fillId="20" borderId="5" xfId="0" applyFill="1" applyBorder="1" applyAlignment="1">
      <alignment horizontal="center" vertical="center"/>
    </xf>
    <xf numFmtId="0" fontId="0" fillId="20" borderId="20" xfId="0" applyFill="1" applyBorder="1" applyAlignment="1">
      <alignment horizontal="center" vertical="center"/>
    </xf>
    <xf numFmtId="0" fontId="0" fillId="20" borderId="15" xfId="0" applyFill="1" applyBorder="1" applyAlignment="1">
      <alignment vertical="center" wrapText="1"/>
    </xf>
    <xf numFmtId="2" fontId="0" fillId="20" borderId="15" xfId="0" applyNumberFormat="1" applyFill="1" applyBorder="1" applyAlignment="1">
      <alignment horizontal="center" vertical="center"/>
    </xf>
    <xf numFmtId="0" fontId="0" fillId="20" borderId="15" xfId="0" applyFill="1" applyBorder="1" applyAlignment="1">
      <alignment horizontal="center" vertical="center"/>
    </xf>
    <xf numFmtId="2" fontId="0" fillId="20" borderId="27" xfId="0" applyNumberFormat="1" applyFill="1" applyBorder="1" applyAlignment="1">
      <alignment horizontal="center" vertical="center"/>
    </xf>
    <xf numFmtId="0" fontId="21" fillId="5" borderId="6" xfId="0" applyFont="1" applyFill="1" applyBorder="1" applyAlignment="1">
      <alignment horizontal="center" vertical="center" wrapText="1"/>
    </xf>
    <xf numFmtId="0" fontId="0" fillId="20" borderId="2" xfId="0" applyFill="1" applyBorder="1" applyAlignment="1">
      <alignment horizontal="center" vertical="center"/>
    </xf>
    <xf numFmtId="0" fontId="0" fillId="20" borderId="16" xfId="0" applyFill="1" applyBorder="1" applyAlignment="1">
      <alignment vertical="center" wrapText="1"/>
    </xf>
    <xf numFmtId="2" fontId="0" fillId="20" borderId="16" xfId="0" applyNumberFormat="1" applyFill="1" applyBorder="1" applyAlignment="1">
      <alignment horizontal="center" vertical="center"/>
    </xf>
    <xf numFmtId="0" fontId="0" fillId="20" borderId="16" xfId="0" applyFill="1" applyBorder="1" applyAlignment="1">
      <alignment horizontal="center" vertical="center"/>
    </xf>
    <xf numFmtId="2" fontId="0" fillId="20" borderId="3" xfId="0" applyNumberFormat="1" applyFill="1" applyBorder="1" applyAlignment="1">
      <alignment horizontal="center" vertical="center"/>
    </xf>
    <xf numFmtId="0" fontId="0" fillId="20" borderId="38" xfId="0" applyFill="1" applyBorder="1" applyAlignment="1">
      <alignment horizontal="center" vertical="center"/>
    </xf>
    <xf numFmtId="0" fontId="0" fillId="20" borderId="36" xfId="0" applyFill="1" applyBorder="1" applyAlignment="1">
      <alignment vertical="center" wrapText="1"/>
    </xf>
    <xf numFmtId="2" fontId="0" fillId="20" borderId="36" xfId="0" applyNumberFormat="1" applyFill="1" applyBorder="1" applyAlignment="1">
      <alignment horizontal="center" vertical="center"/>
    </xf>
    <xf numFmtId="49" fontId="0" fillId="0" borderId="1" xfId="0" applyNumberFormat="1" applyBorder="1" applyAlignment="1">
      <alignment horizontal="center"/>
    </xf>
    <xf numFmtId="49" fontId="0" fillId="0" borderId="4" xfId="0" applyNumberFormat="1" applyBorder="1" applyAlignment="1">
      <alignment horizontal="center"/>
    </xf>
    <xf numFmtId="0" fontId="0" fillId="0" borderId="44" xfId="0" applyBorder="1" applyAlignment="1">
      <alignment vertical="center"/>
    </xf>
    <xf numFmtId="49" fontId="0" fillId="0" borderId="1" xfId="0" applyNumberFormat="1" applyBorder="1" applyAlignment="1">
      <alignment horizontal="center" vertical="center"/>
    </xf>
    <xf numFmtId="49" fontId="0" fillId="0" borderId="4" xfId="0" applyNumberFormat="1" applyBorder="1" applyAlignment="1">
      <alignment horizontal="center" vertical="center"/>
    </xf>
    <xf numFmtId="49" fontId="0" fillId="0" borderId="49" xfId="0" applyNumberFormat="1" applyBorder="1" applyAlignment="1">
      <alignment horizontal="center"/>
    </xf>
    <xf numFmtId="49" fontId="0" fillId="0" borderId="50" xfId="0" applyNumberFormat="1" applyBorder="1" applyAlignment="1">
      <alignment horizontal="center"/>
    </xf>
    <xf numFmtId="166" fontId="19" fillId="3" borderId="0" xfId="0" applyNumberFormat="1" applyFont="1" applyFill="1" applyAlignment="1">
      <alignment horizontal="center"/>
    </xf>
    <xf numFmtId="2" fontId="19" fillId="3" borderId="0" xfId="0" applyNumberFormat="1" applyFont="1" applyFill="1"/>
    <xf numFmtId="49" fontId="19" fillId="3" borderId="10" xfId="103" applyNumberFormat="1" applyFont="1" applyFill="1" applyBorder="1" applyAlignment="1">
      <alignment horizontal="center" vertical="center"/>
    </xf>
    <xf numFmtId="165" fontId="19" fillId="0" borderId="1" xfId="1" applyFont="1" applyBorder="1"/>
    <xf numFmtId="165" fontId="19" fillId="0" borderId="26" xfId="0" applyNumberFormat="1" applyFont="1" applyBorder="1"/>
    <xf numFmtId="49" fontId="19" fillId="3" borderId="2" xfId="103" applyNumberFormat="1" applyFont="1" applyFill="1" applyBorder="1" applyAlignment="1">
      <alignment horizontal="center" vertical="center"/>
    </xf>
    <xf numFmtId="165" fontId="19" fillId="0" borderId="16" xfId="1" applyFont="1" applyBorder="1"/>
    <xf numFmtId="0" fontId="19" fillId="0" borderId="16" xfId="0" applyFont="1" applyBorder="1"/>
    <xf numFmtId="165" fontId="19" fillId="0" borderId="3" xfId="0" applyNumberFormat="1" applyFont="1" applyBorder="1"/>
    <xf numFmtId="0" fontId="19" fillId="3" borderId="20" xfId="0" applyFont="1" applyFill="1" applyBorder="1" applyAlignment="1">
      <alignment horizontal="center"/>
    </xf>
    <xf numFmtId="166" fontId="19" fillId="3" borderId="15" xfId="0" applyNumberFormat="1" applyFont="1" applyFill="1" applyBorder="1" applyAlignment="1">
      <alignment horizontal="center"/>
    </xf>
    <xf numFmtId="166" fontId="19" fillId="3" borderId="15" xfId="0" applyNumberFormat="1" applyFont="1" applyFill="1" applyBorder="1"/>
    <xf numFmtId="2" fontId="19" fillId="3" borderId="15" xfId="0" applyNumberFormat="1" applyFont="1" applyFill="1" applyBorder="1"/>
    <xf numFmtId="49" fontId="19" fillId="3" borderId="27" xfId="103" applyNumberFormat="1" applyFont="1" applyFill="1" applyBorder="1" applyAlignment="1">
      <alignment horizontal="center" vertical="center"/>
    </xf>
    <xf numFmtId="0" fontId="18" fillId="5" borderId="17" xfId="0" applyFont="1" applyFill="1" applyBorder="1" applyAlignment="1">
      <alignment horizontal="center" vertical="center"/>
    </xf>
    <xf numFmtId="0" fontId="18" fillId="5" borderId="25" xfId="0" applyFont="1" applyFill="1" applyBorder="1" applyAlignment="1">
      <alignment horizontal="center" vertical="center"/>
    </xf>
    <xf numFmtId="165" fontId="19" fillId="0" borderId="49" xfId="1" applyFont="1" applyBorder="1"/>
    <xf numFmtId="0" fontId="0" fillId="20" borderId="15" xfId="0" applyFill="1" applyBorder="1" applyAlignment="1">
      <alignment horizontal="left" vertical="center" wrapText="1"/>
    </xf>
    <xf numFmtId="1" fontId="0" fillId="20" borderId="15" xfId="0" applyNumberFormat="1" applyFill="1" applyBorder="1" applyAlignment="1">
      <alignment horizontal="center" vertical="center"/>
    </xf>
    <xf numFmtId="166" fontId="0" fillId="0" borderId="15" xfId="0" applyNumberFormat="1" applyBorder="1" applyAlignment="1">
      <alignment horizontal="center" vertical="center"/>
    </xf>
    <xf numFmtId="166" fontId="0" fillId="0" borderId="27" xfId="0" applyNumberFormat="1" applyBorder="1" applyAlignment="1">
      <alignment horizontal="center" vertical="center"/>
    </xf>
    <xf numFmtId="166" fontId="21" fillId="5" borderId="25" xfId="0" applyNumberFormat="1" applyFont="1" applyFill="1" applyBorder="1" applyAlignment="1">
      <alignment horizontal="center" vertical="center"/>
    </xf>
    <xf numFmtId="166" fontId="21" fillId="5" borderId="26" xfId="0" applyNumberFormat="1" applyFont="1" applyFill="1" applyBorder="1" applyAlignment="1">
      <alignment horizontal="center" vertical="center"/>
    </xf>
    <xf numFmtId="166" fontId="0" fillId="0" borderId="0" xfId="0" applyNumberFormat="1" applyAlignment="1">
      <alignment horizontal="center"/>
    </xf>
    <xf numFmtId="0" fontId="4" fillId="3" borderId="0" xfId="0" applyFont="1" applyFill="1" applyAlignment="1">
      <alignment horizontal="right"/>
    </xf>
    <xf numFmtId="0" fontId="0" fillId="0" borderId="10" xfId="0" applyBorder="1" applyAlignment="1">
      <alignment vertical="center" wrapText="1"/>
    </xf>
    <xf numFmtId="165" fontId="0" fillId="0" borderId="4" xfId="1" applyFont="1" applyBorder="1" applyAlignment="1">
      <alignment vertical="center"/>
    </xf>
    <xf numFmtId="0" fontId="19" fillId="3" borderId="0" xfId="0" applyFont="1" applyFill="1" applyAlignment="1">
      <alignment horizontal="center"/>
    </xf>
    <xf numFmtId="166" fontId="19" fillId="3" borderId="0" xfId="0" applyNumberFormat="1" applyFont="1" applyFill="1"/>
    <xf numFmtId="49" fontId="19" fillId="3" borderId="0" xfId="103" applyNumberFormat="1" applyFont="1" applyFill="1" applyBorder="1" applyAlignment="1">
      <alignment horizontal="center" vertical="center"/>
    </xf>
    <xf numFmtId="1" fontId="19" fillId="0" borderId="18" xfId="0" applyNumberFormat="1" applyFont="1" applyBorder="1"/>
    <xf numFmtId="0" fontId="4" fillId="5" borderId="14" xfId="0" applyFont="1" applyFill="1" applyBorder="1" applyAlignment="1">
      <alignment horizontal="left"/>
    </xf>
    <xf numFmtId="0" fontId="4" fillId="3" borderId="0" xfId="0" applyFont="1" applyFill="1" applyAlignment="1">
      <alignment horizontal="left"/>
    </xf>
    <xf numFmtId="0" fontId="0" fillId="3" borderId="0" xfId="0" applyFill="1" applyAlignment="1">
      <alignment horizontal="right"/>
    </xf>
    <xf numFmtId="0" fontId="0" fillId="3" borderId="18" xfId="0" applyFill="1" applyBorder="1" applyAlignment="1">
      <alignment horizontal="right"/>
    </xf>
    <xf numFmtId="1" fontId="0" fillId="3" borderId="18" xfId="0" applyNumberFormat="1" applyFill="1" applyBorder="1" applyAlignment="1">
      <alignment horizontal="right"/>
    </xf>
    <xf numFmtId="0" fontId="37" fillId="0" borderId="16" xfId="0" applyFont="1" applyBorder="1" applyAlignment="1">
      <alignment horizontal="center"/>
    </xf>
    <xf numFmtId="0" fontId="9" fillId="5" borderId="28" xfId="0" applyFont="1" applyFill="1" applyBorder="1" applyAlignment="1">
      <alignment horizontal="center" vertical="center" wrapText="1"/>
    </xf>
    <xf numFmtId="0" fontId="9" fillId="5" borderId="29" xfId="0" applyFont="1" applyFill="1" applyBorder="1" applyAlignment="1">
      <alignment horizontal="center" vertical="center" wrapText="1"/>
    </xf>
    <xf numFmtId="0" fontId="9" fillId="5" borderId="30" xfId="0" applyFont="1" applyFill="1" applyBorder="1" applyAlignment="1">
      <alignment horizontal="center" vertical="center" wrapText="1"/>
    </xf>
    <xf numFmtId="165" fontId="8" fillId="0" borderId="49" xfId="1" applyFont="1" applyBorder="1" applyAlignment="1">
      <alignment horizontal="center" vertical="center" wrapText="1"/>
    </xf>
    <xf numFmtId="0" fontId="8" fillId="0" borderId="49" xfId="0" applyFont="1" applyBorder="1" applyAlignment="1">
      <alignment horizontal="center" vertical="center" wrapText="1"/>
    </xf>
    <xf numFmtId="0" fontId="6" fillId="0" borderId="0" xfId="3" applyAlignment="1">
      <alignment horizontal="center" vertical="center"/>
    </xf>
    <xf numFmtId="0" fontId="6" fillId="0" borderId="0" xfId="3" applyAlignment="1">
      <alignment vertical="center"/>
    </xf>
    <xf numFmtId="0" fontId="3" fillId="0" borderId="0" xfId="3" applyFont="1" applyAlignment="1">
      <alignment horizontal="center" vertical="center"/>
    </xf>
    <xf numFmtId="0" fontId="37" fillId="3" borderId="1" xfId="0" applyFont="1" applyFill="1" applyBorder="1" applyAlignment="1">
      <alignment horizontal="center" vertical="center"/>
    </xf>
    <xf numFmtId="2" fontId="19" fillId="3" borderId="1" xfId="3" applyNumberFormat="1" applyFont="1" applyFill="1" applyBorder="1" applyAlignment="1">
      <alignment horizontal="center" vertical="center"/>
    </xf>
    <xf numFmtId="166" fontId="19" fillId="3" borderId="4" xfId="3" applyNumberFormat="1" applyFont="1" applyFill="1" applyBorder="1" applyAlignment="1">
      <alignment horizontal="center" vertical="center"/>
    </xf>
    <xf numFmtId="0" fontId="37" fillId="3" borderId="15" xfId="0" applyFont="1" applyFill="1" applyBorder="1" applyAlignment="1">
      <alignment horizontal="center" vertical="center"/>
    </xf>
    <xf numFmtId="2" fontId="19" fillId="3" borderId="15" xfId="3" applyNumberFormat="1" applyFont="1" applyFill="1" applyBorder="1" applyAlignment="1">
      <alignment horizontal="center" vertical="center"/>
    </xf>
    <xf numFmtId="166" fontId="19" fillId="3" borderId="27" xfId="3" applyNumberFormat="1" applyFont="1" applyFill="1" applyBorder="1" applyAlignment="1">
      <alignment horizontal="center" vertical="center"/>
    </xf>
    <xf numFmtId="0" fontId="18" fillId="5" borderId="25" xfId="0" applyFont="1" applyFill="1" applyBorder="1" applyAlignment="1">
      <alignment horizontal="center" vertical="center" wrapText="1"/>
    </xf>
    <xf numFmtId="0" fontId="18" fillId="5" borderId="51" xfId="0" applyFont="1" applyFill="1" applyBorder="1" applyAlignment="1">
      <alignment horizontal="center" vertical="center" wrapText="1"/>
    </xf>
    <xf numFmtId="0" fontId="37" fillId="3" borderId="53" xfId="0" applyFont="1" applyFill="1" applyBorder="1" applyAlignment="1">
      <alignment horizontal="left" vertical="center"/>
    </xf>
    <xf numFmtId="0" fontId="37" fillId="3" borderId="40" xfId="0" applyFont="1" applyFill="1" applyBorder="1" applyAlignment="1">
      <alignment horizontal="left" vertical="center"/>
    </xf>
    <xf numFmtId="0" fontId="18" fillId="5" borderId="14" xfId="0" applyFont="1" applyFill="1" applyBorder="1" applyAlignment="1">
      <alignment horizontal="center" vertical="center" wrapText="1"/>
    </xf>
    <xf numFmtId="0" fontId="37" fillId="3" borderId="54" xfId="0" applyFont="1" applyFill="1" applyBorder="1" applyAlignment="1">
      <alignment horizontal="left" vertical="center"/>
    </xf>
    <xf numFmtId="0" fontId="37" fillId="3" borderId="49" xfId="0" applyFont="1" applyFill="1" applyBorder="1" applyAlignment="1">
      <alignment horizontal="center" vertical="center"/>
    </xf>
    <xf numFmtId="2" fontId="19" fillId="3" borderId="49" xfId="3" applyNumberFormat="1" applyFont="1" applyFill="1" applyBorder="1" applyAlignment="1">
      <alignment horizontal="center" vertical="center"/>
    </xf>
    <xf numFmtId="0" fontId="19" fillId="3" borderId="4" xfId="3" applyFont="1" applyFill="1" applyBorder="1" applyAlignment="1">
      <alignment horizontal="center" vertical="center"/>
    </xf>
    <xf numFmtId="0" fontId="19" fillId="3" borderId="50" xfId="3" applyFont="1" applyFill="1" applyBorder="1" applyAlignment="1">
      <alignment horizontal="center" vertical="center"/>
    </xf>
    <xf numFmtId="0" fontId="19" fillId="3" borderId="14" xfId="3" applyFont="1" applyFill="1" applyBorder="1" applyAlignment="1">
      <alignment horizontal="center" vertical="center"/>
    </xf>
    <xf numFmtId="0" fontId="19" fillId="17" borderId="17" xfId="3" applyFont="1" applyFill="1" applyBorder="1" applyAlignment="1">
      <alignment horizontal="center" vertical="center"/>
    </xf>
    <xf numFmtId="0" fontId="19" fillId="17" borderId="25" xfId="3" applyFont="1" applyFill="1" applyBorder="1" applyAlignment="1">
      <alignment horizontal="center" vertical="center"/>
    </xf>
    <xf numFmtId="0" fontId="19" fillId="17" borderId="26" xfId="3" applyFont="1" applyFill="1" applyBorder="1" applyAlignment="1">
      <alignment horizontal="center" vertical="center"/>
    </xf>
    <xf numFmtId="0" fontId="19" fillId="0" borderId="0" xfId="3" applyFont="1" applyAlignment="1">
      <alignment vertical="center"/>
    </xf>
    <xf numFmtId="0" fontId="19" fillId="0" borderId="0" xfId="3" applyFont="1" applyAlignment="1">
      <alignment horizontal="center" vertical="center"/>
    </xf>
    <xf numFmtId="0" fontId="18" fillId="5" borderId="25" xfId="3" applyFont="1" applyFill="1" applyBorder="1" applyAlignment="1">
      <alignment horizontal="center" vertical="center" wrapText="1"/>
    </xf>
    <xf numFmtId="0" fontId="18" fillId="5" borderId="26" xfId="3" applyFont="1" applyFill="1" applyBorder="1" applyAlignment="1">
      <alignment horizontal="center" vertical="center" wrapText="1"/>
    </xf>
    <xf numFmtId="0" fontId="20" fillId="5" borderId="14" xfId="3" applyFont="1" applyFill="1" applyBorder="1" applyAlignment="1">
      <alignment horizontal="center" vertical="center" wrapText="1"/>
    </xf>
    <xf numFmtId="0" fontId="20" fillId="0" borderId="0" xfId="3" applyFont="1" applyAlignment="1">
      <alignment vertical="center"/>
    </xf>
    <xf numFmtId="0" fontId="19" fillId="0" borderId="2" xfId="0" applyFont="1" applyBorder="1" applyAlignment="1">
      <alignment horizontal="center"/>
    </xf>
    <xf numFmtId="165" fontId="0" fillId="0" borderId="16" xfId="1" applyFont="1" applyBorder="1"/>
    <xf numFmtId="0" fontId="4" fillId="5" borderId="28" xfId="0" applyFont="1" applyFill="1" applyBorder="1" applyAlignment="1">
      <alignment horizontal="center" vertical="center" wrapText="1"/>
    </xf>
    <xf numFmtId="0" fontId="20" fillId="0" borderId="10" xfId="0" applyFont="1" applyBorder="1" applyAlignment="1">
      <alignment horizontal="center"/>
    </xf>
    <xf numFmtId="0" fontId="4" fillId="5" borderId="2" xfId="0" applyFont="1" applyFill="1" applyBorder="1"/>
    <xf numFmtId="0" fontId="4" fillId="5" borderId="11" xfId="0" applyFont="1" applyFill="1" applyBorder="1"/>
    <xf numFmtId="9" fontId="19" fillId="0" borderId="49" xfId="2" applyFont="1" applyBorder="1" applyAlignment="1">
      <alignment horizontal="center" vertical="center"/>
    </xf>
    <xf numFmtId="0" fontId="19" fillId="0" borderId="49" xfId="0" applyFont="1" applyBorder="1" applyAlignment="1">
      <alignment horizontal="center"/>
    </xf>
    <xf numFmtId="165" fontId="19" fillId="0" borderId="49" xfId="1" applyFont="1" applyBorder="1" applyAlignment="1">
      <alignment horizontal="center"/>
    </xf>
    <xf numFmtId="165" fontId="0" fillId="0" borderId="50" xfId="0" applyNumberFormat="1" applyBorder="1"/>
    <xf numFmtId="165" fontId="19" fillId="0" borderId="25" xfId="1" applyFont="1" applyBorder="1"/>
    <xf numFmtId="0" fontId="19" fillId="0" borderId="20" xfId="0" applyFont="1" applyBorder="1"/>
    <xf numFmtId="0" fontId="19" fillId="0" borderId="15" xfId="0" applyFont="1" applyBorder="1" applyAlignment="1">
      <alignment horizontal="center"/>
    </xf>
    <xf numFmtId="165" fontId="19" fillId="0" borderId="15" xfId="1" applyFont="1" applyBorder="1" applyAlignment="1">
      <alignment horizontal="center"/>
    </xf>
    <xf numFmtId="0" fontId="18" fillId="5" borderId="26" xfId="0" applyFont="1" applyFill="1" applyBorder="1" applyAlignment="1">
      <alignment horizontal="center" vertical="center"/>
    </xf>
    <xf numFmtId="165" fontId="19" fillId="0" borderId="25" xfId="1" applyFont="1" applyBorder="1" applyAlignment="1">
      <alignment horizontal="center"/>
    </xf>
    <xf numFmtId="165" fontId="19" fillId="0" borderId="25" xfId="0" applyNumberFormat="1" applyFont="1" applyBorder="1"/>
    <xf numFmtId="168" fontId="0" fillId="0" borderId="6" xfId="2" applyNumberFormat="1" applyFont="1" applyBorder="1"/>
    <xf numFmtId="165" fontId="0" fillId="0" borderId="1" xfId="0" applyNumberFormat="1" applyBorder="1" applyAlignment="1">
      <alignment horizontal="center" vertical="center" wrapText="1"/>
    </xf>
    <xf numFmtId="165" fontId="0" fillId="0" borderId="5" xfId="0" applyNumberFormat="1" applyBorder="1" applyAlignment="1">
      <alignment horizontal="center" vertical="center" wrapText="1"/>
    </xf>
    <xf numFmtId="177" fontId="0" fillId="0" borderId="27" xfId="0" applyNumberFormat="1" applyBorder="1"/>
    <xf numFmtId="178" fontId="0" fillId="0" borderId="27" xfId="0" applyNumberFormat="1" applyBorder="1"/>
    <xf numFmtId="178" fontId="0" fillId="0" borderId="26" xfId="1" applyNumberFormat="1" applyFont="1" applyBorder="1"/>
    <xf numFmtId="165" fontId="4" fillId="0" borderId="5" xfId="1" applyFont="1" applyFill="1" applyBorder="1" applyAlignment="1">
      <alignment horizontal="center"/>
    </xf>
    <xf numFmtId="0" fontId="0" fillId="0" borderId="2" xfId="0" quotePrefix="1" applyBorder="1" applyAlignment="1">
      <alignment horizontal="left"/>
    </xf>
    <xf numFmtId="165" fontId="0" fillId="13" borderId="1" xfId="1" applyFont="1" applyFill="1" applyBorder="1" applyAlignment="1">
      <alignment horizontal="center"/>
    </xf>
    <xf numFmtId="165" fontId="0" fillId="13" borderId="5" xfId="1" applyFont="1" applyFill="1" applyBorder="1" applyAlignment="1">
      <alignment horizontal="center"/>
    </xf>
    <xf numFmtId="165" fontId="0" fillId="0" borderId="5" xfId="0" applyNumberFormat="1" applyBorder="1"/>
    <xf numFmtId="165" fontId="0" fillId="0" borderId="15" xfId="1" applyFont="1" applyBorder="1" applyAlignment="1">
      <alignment horizontal="center"/>
    </xf>
    <xf numFmtId="165" fontId="0" fillId="0" borderId="15" xfId="0" applyNumberFormat="1" applyBorder="1" applyAlignment="1">
      <alignment horizontal="center"/>
    </xf>
    <xf numFmtId="165" fontId="0" fillId="0" borderId="15" xfId="0" applyNumberFormat="1" applyBorder="1"/>
    <xf numFmtId="0" fontId="0" fillId="0" borderId="2" xfId="0" applyBorder="1" applyAlignment="1">
      <alignment horizontal="center" vertical="center" wrapText="1"/>
    </xf>
    <xf numFmtId="165" fontId="0" fillId="0" borderId="16" xfId="0" applyNumberFormat="1" applyBorder="1" applyAlignment="1">
      <alignment horizontal="center" vertical="center" wrapText="1"/>
    </xf>
    <xf numFmtId="3" fontId="19" fillId="0" borderId="16" xfId="0" applyNumberFormat="1" applyFont="1" applyBorder="1" applyAlignment="1">
      <alignment horizontal="center"/>
    </xf>
    <xf numFmtId="177" fontId="0" fillId="0" borderId="4" xfId="0" applyNumberFormat="1" applyBorder="1" applyAlignment="1">
      <alignment horizontal="center"/>
    </xf>
    <xf numFmtId="177" fontId="0" fillId="0" borderId="6" xfId="0" applyNumberFormat="1" applyBorder="1" applyAlignment="1">
      <alignment horizontal="center"/>
    </xf>
    <xf numFmtId="177" fontId="0" fillId="0" borderId="4" xfId="0" applyNumberFormat="1" applyBorder="1"/>
    <xf numFmtId="177" fontId="4" fillId="0" borderId="6" xfId="0" applyNumberFormat="1" applyFont="1" applyBorder="1"/>
    <xf numFmtId="177" fontId="0" fillId="0" borderId="6" xfId="0" applyNumberFormat="1" applyBorder="1"/>
    <xf numFmtId="0" fontId="0" fillId="0" borderId="15" xfId="0" applyBorder="1" applyAlignment="1">
      <alignment horizontal="center" vertical="center" wrapText="1"/>
    </xf>
    <xf numFmtId="0" fontId="4" fillId="5" borderId="43" xfId="0" applyFont="1" applyFill="1" applyBorder="1" applyAlignment="1">
      <alignment horizontal="center"/>
    </xf>
    <xf numFmtId="0" fontId="0" fillId="0" borderId="59" xfId="0" applyBorder="1" applyAlignment="1">
      <alignment horizontal="center"/>
    </xf>
    <xf numFmtId="165" fontId="0" fillId="0" borderId="1" xfId="0" applyNumberFormat="1" applyBorder="1"/>
    <xf numFmtId="179" fontId="19" fillId="0" borderId="20" xfId="1" applyNumberFormat="1" applyFont="1" applyBorder="1" applyAlignment="1">
      <alignment horizontal="right"/>
    </xf>
    <xf numFmtId="179" fontId="19" fillId="0" borderId="27" xfId="1" applyNumberFormat="1" applyFont="1" applyBorder="1"/>
    <xf numFmtId="179" fontId="19" fillId="0" borderId="10" xfId="1" applyNumberFormat="1" applyFont="1" applyBorder="1" applyAlignment="1">
      <alignment horizontal="center"/>
    </xf>
    <xf numFmtId="179" fontId="0" fillId="0" borderId="20" xfId="1" applyNumberFormat="1" applyFont="1" applyBorder="1"/>
    <xf numFmtId="179" fontId="0" fillId="0" borderId="27" xfId="1" applyNumberFormat="1" applyFont="1" applyBorder="1"/>
    <xf numFmtId="179" fontId="0" fillId="0" borderId="53" xfId="1" applyNumberFormat="1" applyFont="1" applyBorder="1"/>
    <xf numFmtId="179" fontId="0" fillId="0" borderId="10" xfId="1" applyNumberFormat="1" applyFont="1" applyBorder="1"/>
    <xf numFmtId="179" fontId="0" fillId="0" borderId="23" xfId="1" applyNumberFormat="1" applyFont="1" applyFill="1" applyBorder="1"/>
    <xf numFmtId="179" fontId="0" fillId="0" borderId="18" xfId="1" applyNumberFormat="1" applyFont="1" applyFill="1" applyBorder="1"/>
    <xf numFmtId="179" fontId="0" fillId="0" borderId="24" xfId="1" applyNumberFormat="1" applyFont="1" applyFill="1" applyBorder="1"/>
    <xf numFmtId="0" fontId="19" fillId="0" borderId="3" xfId="3" applyFont="1" applyBorder="1" applyAlignment="1">
      <alignment vertical="center"/>
    </xf>
    <xf numFmtId="0" fontId="19" fillId="0" borderId="4" xfId="3" applyFont="1" applyBorder="1" applyAlignment="1">
      <alignment vertical="center"/>
    </xf>
    <xf numFmtId="177" fontId="0" fillId="0" borderId="15" xfId="1" applyNumberFormat="1" applyFont="1" applyFill="1" applyBorder="1" applyAlignment="1"/>
    <xf numFmtId="177" fontId="0" fillId="0" borderId="1" xfId="1" applyNumberFormat="1" applyFont="1" applyFill="1" applyBorder="1" applyAlignment="1"/>
    <xf numFmtId="177" fontId="0" fillId="0" borderId="5" xfId="1" applyNumberFormat="1" applyFont="1" applyFill="1" applyBorder="1" applyAlignment="1"/>
    <xf numFmtId="0" fontId="30" fillId="5" borderId="28" xfId="0" applyFont="1" applyFill="1" applyBorder="1" applyAlignment="1">
      <alignment vertical="center"/>
    </xf>
    <xf numFmtId="0" fontId="9" fillId="5" borderId="29" xfId="0" applyFont="1" applyFill="1" applyBorder="1" applyAlignment="1">
      <alignment horizontal="center" vertical="center"/>
    </xf>
    <xf numFmtId="0" fontId="9" fillId="5" borderId="30" xfId="0" applyFont="1" applyFill="1" applyBorder="1" applyAlignment="1">
      <alignment horizontal="center" vertical="center"/>
    </xf>
    <xf numFmtId="0" fontId="9" fillId="0" borderId="15" xfId="0" applyFont="1" applyBorder="1" applyAlignment="1">
      <alignment horizontal="center" vertical="center"/>
    </xf>
    <xf numFmtId="164" fontId="8" fillId="0" borderId="27" xfId="0" applyNumberFormat="1" applyFont="1" applyBorder="1" applyAlignment="1">
      <alignment horizontal="center" vertical="center"/>
    </xf>
    <xf numFmtId="0" fontId="9" fillId="0" borderId="16" xfId="0" applyFont="1" applyBorder="1" applyAlignment="1">
      <alignment horizontal="center" vertical="center"/>
    </xf>
    <xf numFmtId="164" fontId="8" fillId="0" borderId="3" xfId="0" applyNumberFormat="1" applyFont="1" applyBorder="1" applyAlignment="1">
      <alignment horizontal="center" vertical="center"/>
    </xf>
    <xf numFmtId="180" fontId="0" fillId="0" borderId="1" xfId="0" applyNumberFormat="1" applyBorder="1"/>
    <xf numFmtId="0" fontId="4" fillId="5" borderId="2" xfId="0" applyFont="1" applyFill="1" applyBorder="1" applyAlignment="1">
      <alignment vertical="center"/>
    </xf>
    <xf numFmtId="0" fontId="0" fillId="0" borderId="3" xfId="0" applyBorder="1" applyAlignment="1">
      <alignment vertical="center"/>
    </xf>
    <xf numFmtId="0" fontId="4" fillId="5" borderId="11" xfId="0" applyFont="1" applyFill="1" applyBorder="1" applyAlignment="1">
      <alignment vertical="center"/>
    </xf>
    <xf numFmtId="168" fontId="0" fillId="0" borderId="6" xfId="2" applyNumberFormat="1" applyFont="1" applyBorder="1" applyAlignment="1">
      <alignment vertical="center"/>
    </xf>
    <xf numFmtId="180" fontId="0" fillId="0" borderId="15" xfId="0" applyNumberFormat="1" applyBorder="1"/>
    <xf numFmtId="180" fontId="0" fillId="0" borderId="5" xfId="0" applyNumberFormat="1" applyBorder="1"/>
    <xf numFmtId="165" fontId="0" fillId="0" borderId="1" xfId="1" applyFont="1" applyFill="1" applyBorder="1" applyAlignment="1">
      <alignment horizontal="center"/>
    </xf>
    <xf numFmtId="0" fontId="0" fillId="0" borderId="9" xfId="0" applyBorder="1"/>
    <xf numFmtId="0" fontId="0" fillId="0" borderId="42" xfId="0" applyBorder="1"/>
    <xf numFmtId="167" fontId="0" fillId="0" borderId="6" xfId="0" applyNumberFormat="1" applyBorder="1"/>
    <xf numFmtId="167" fontId="0" fillId="0" borderId="27" xfId="0" applyNumberFormat="1" applyBorder="1"/>
    <xf numFmtId="167" fontId="0" fillId="0" borderId="3" xfId="0" applyNumberFormat="1" applyBorder="1"/>
    <xf numFmtId="0" fontId="0" fillId="0" borderId="16" xfId="0" quotePrefix="1" applyBorder="1" applyAlignment="1">
      <alignment horizontal="center"/>
    </xf>
    <xf numFmtId="165" fontId="0" fillId="0" borderId="16" xfId="1" applyFont="1" applyFill="1" applyBorder="1" applyAlignment="1">
      <alignment horizontal="center"/>
    </xf>
    <xf numFmtId="167" fontId="0" fillId="0" borderId="16" xfId="0" applyNumberFormat="1" applyBorder="1"/>
    <xf numFmtId="180" fontId="0" fillId="0" borderId="16" xfId="0" applyNumberFormat="1" applyBorder="1"/>
    <xf numFmtId="180" fontId="0" fillId="0" borderId="3" xfId="0" applyNumberFormat="1" applyBorder="1"/>
    <xf numFmtId="180" fontId="0" fillId="0" borderId="27" xfId="0" applyNumberFormat="1" applyBorder="1"/>
    <xf numFmtId="180" fontId="0" fillId="0" borderId="36" xfId="0" applyNumberFormat="1" applyBorder="1"/>
    <xf numFmtId="180" fontId="0" fillId="0" borderId="59" xfId="0" applyNumberFormat="1" applyBorder="1"/>
    <xf numFmtId="165" fontId="0" fillId="0" borderId="1" xfId="1" applyFont="1" applyFill="1" applyBorder="1"/>
    <xf numFmtId="165" fontId="0" fillId="0" borderId="16" xfId="1" applyFont="1" applyBorder="1" applyAlignment="1">
      <alignment horizontal="center"/>
    </xf>
    <xf numFmtId="10" fontId="0" fillId="0" borderId="16" xfId="0" applyNumberFormat="1" applyBorder="1" applyAlignment="1">
      <alignment horizontal="center"/>
    </xf>
    <xf numFmtId="165" fontId="0" fillId="0" borderId="3" xfId="0" applyNumberFormat="1" applyBorder="1"/>
    <xf numFmtId="165" fontId="0" fillId="0" borderId="5" xfId="1" applyFont="1" applyFill="1" applyBorder="1"/>
    <xf numFmtId="179" fontId="19" fillId="0" borderId="4" xfId="1" applyNumberFormat="1" applyFont="1" applyBorder="1"/>
    <xf numFmtId="179" fontId="7" fillId="0" borderId="10" xfId="1" applyNumberFormat="1" applyFont="1" applyFill="1" applyBorder="1"/>
    <xf numFmtId="179" fontId="7" fillId="0" borderId="4" xfId="1" applyNumberFormat="1" applyFont="1" applyFill="1" applyBorder="1"/>
    <xf numFmtId="179" fontId="7" fillId="0" borderId="40" xfId="1" applyNumberFormat="1" applyFont="1" applyFill="1" applyBorder="1"/>
    <xf numFmtId="179" fontId="7" fillId="0" borderId="12" xfId="1" applyNumberFormat="1" applyFont="1" applyFill="1" applyBorder="1"/>
    <xf numFmtId="179" fontId="7" fillId="0" borderId="27" xfId="1" applyNumberFormat="1" applyFont="1" applyFill="1" applyBorder="1"/>
    <xf numFmtId="179" fontId="20" fillId="0" borderId="10" xfId="1" applyNumberFormat="1" applyFont="1" applyBorder="1" applyAlignment="1">
      <alignment horizontal="center"/>
    </xf>
    <xf numFmtId="179" fontId="20" fillId="0" borderId="4" xfId="1" applyNumberFormat="1" applyFont="1" applyBorder="1"/>
    <xf numFmtId="179" fontId="19" fillId="0" borderId="20" xfId="1" applyNumberFormat="1" applyFont="1" applyBorder="1" applyAlignment="1">
      <alignment horizontal="center"/>
    </xf>
    <xf numFmtId="179" fontId="19" fillId="22" borderId="52" xfId="0" applyNumberFormat="1" applyFont="1" applyFill="1" applyBorder="1" applyAlignment="1">
      <alignment horizontal="center"/>
    </xf>
    <xf numFmtId="179" fontId="19" fillId="22" borderId="33" xfId="0" applyNumberFormat="1" applyFont="1" applyFill="1" applyBorder="1" applyAlignment="1">
      <alignment horizontal="center"/>
    </xf>
    <xf numFmtId="179" fontId="19" fillId="22" borderId="27" xfId="0" applyNumberFormat="1" applyFont="1" applyFill="1" applyBorder="1" applyAlignment="1">
      <alignment horizontal="center"/>
    </xf>
    <xf numFmtId="179" fontId="19" fillId="0" borderId="12" xfId="1" applyNumberFormat="1" applyFont="1" applyBorder="1"/>
    <xf numFmtId="179" fontId="0" fillId="0" borderId="4" xfId="1" applyNumberFormat="1" applyFont="1" applyBorder="1"/>
    <xf numFmtId="179" fontId="7" fillId="0" borderId="66" xfId="1" applyNumberFormat="1" applyFont="1" applyFill="1" applyBorder="1"/>
    <xf numFmtId="179" fontId="0" fillId="0" borderId="66" xfId="1" applyNumberFormat="1" applyFont="1" applyBorder="1"/>
    <xf numFmtId="179" fontId="20" fillId="0" borderId="10" xfId="1" applyNumberFormat="1" applyFont="1" applyFill="1" applyBorder="1" applyAlignment="1">
      <alignment horizontal="center"/>
    </xf>
    <xf numFmtId="179" fontId="20" fillId="0" borderId="4" xfId="1" applyNumberFormat="1" applyFont="1" applyFill="1" applyBorder="1"/>
    <xf numFmtId="2" fontId="37" fillId="3" borderId="15" xfId="0" applyNumberFormat="1" applyFont="1" applyFill="1" applyBorder="1" applyAlignment="1">
      <alignment horizontal="center" vertical="center"/>
    </xf>
    <xf numFmtId="181" fontId="0" fillId="0" borderId="15" xfId="1" applyNumberFormat="1" applyFont="1" applyFill="1" applyBorder="1" applyAlignment="1">
      <alignment horizontal="center"/>
    </xf>
    <xf numFmtId="181" fontId="0" fillId="0" borderId="27" xfId="1" applyNumberFormat="1" applyFont="1" applyFill="1" applyBorder="1" applyAlignment="1">
      <alignment horizontal="center"/>
    </xf>
    <xf numFmtId="181" fontId="0" fillId="0" borderId="27" xfId="1" applyNumberFormat="1" applyFont="1" applyBorder="1" applyAlignment="1">
      <alignment horizontal="center"/>
    </xf>
    <xf numFmtId="181" fontId="0" fillId="0" borderId="14" xfId="0" applyNumberFormat="1" applyBorder="1"/>
    <xf numFmtId="181" fontId="0" fillId="0" borderId="4" xfId="1" applyNumberFormat="1" applyFont="1" applyBorder="1" applyAlignment="1">
      <alignment horizontal="center"/>
    </xf>
    <xf numFmtId="181" fontId="0" fillId="0" borderId="6" xfId="0" applyNumberFormat="1" applyBorder="1"/>
    <xf numFmtId="181" fontId="0" fillId="0" borderId="6" xfId="1" applyNumberFormat="1" applyFont="1" applyBorder="1" applyAlignment="1">
      <alignment horizontal="center"/>
    </xf>
    <xf numFmtId="181" fontId="0" fillId="0" borderId="21" xfId="0" applyNumberFormat="1" applyBorder="1"/>
    <xf numFmtId="181" fontId="0" fillId="0" borderId="16" xfId="1" applyNumberFormat="1" applyFont="1" applyFill="1" applyBorder="1" applyAlignment="1">
      <alignment horizontal="center"/>
    </xf>
    <xf numFmtId="181" fontId="0" fillId="0" borderId="36" xfId="1" applyNumberFormat="1" applyFont="1" applyFill="1" applyBorder="1" applyAlignment="1">
      <alignment horizontal="center"/>
    </xf>
    <xf numFmtId="181" fontId="0" fillId="0" borderId="3" xfId="1" applyNumberFormat="1" applyFont="1" applyBorder="1" applyAlignment="1">
      <alignment horizontal="center"/>
    </xf>
    <xf numFmtId="181" fontId="0" fillId="0" borderId="27" xfId="1" applyNumberFormat="1" applyFont="1" applyBorder="1"/>
    <xf numFmtId="181" fontId="0" fillId="0" borderId="4" xfId="1" applyNumberFormat="1" applyFont="1" applyBorder="1"/>
    <xf numFmtId="181" fontId="0" fillId="0" borderId="6" xfId="1" applyNumberFormat="1" applyFont="1" applyBorder="1"/>
    <xf numFmtId="181" fontId="0" fillId="0" borderId="18" xfId="0" applyNumberFormat="1" applyBorder="1"/>
    <xf numFmtId="165" fontId="8" fillId="0" borderId="1" xfId="1" applyFont="1" applyBorder="1" applyAlignment="1">
      <alignment horizontal="center" vertical="center"/>
    </xf>
    <xf numFmtId="182" fontId="0" fillId="0" borderId="5" xfId="0" applyNumberFormat="1" applyBorder="1"/>
    <xf numFmtId="182" fontId="0" fillId="23" borderId="81" xfId="0" applyNumberFormat="1" applyFill="1" applyBorder="1"/>
    <xf numFmtId="182" fontId="0" fillId="0" borderId="40" xfId="0" applyNumberFormat="1" applyBorder="1" applyAlignment="1">
      <alignment horizontal="center"/>
    </xf>
    <xf numFmtId="182" fontId="0" fillId="21" borderId="37" xfId="0" applyNumberFormat="1" applyFill="1" applyBorder="1"/>
    <xf numFmtId="182" fontId="0" fillId="21" borderId="35" xfId="0" applyNumberFormat="1" applyFill="1" applyBorder="1"/>
    <xf numFmtId="182" fontId="0" fillId="21" borderId="33" xfId="0" applyNumberFormat="1" applyFill="1" applyBorder="1"/>
    <xf numFmtId="182" fontId="0" fillId="21" borderId="74" xfId="0" applyNumberFormat="1" applyFill="1" applyBorder="1"/>
    <xf numFmtId="182" fontId="0" fillId="0" borderId="51" xfId="0" applyNumberFormat="1" applyBorder="1"/>
    <xf numFmtId="182" fontId="0" fillId="23" borderId="14" xfId="0" applyNumberFormat="1" applyFill="1" applyBorder="1"/>
    <xf numFmtId="182" fontId="0" fillId="0" borderId="24" xfId="0" applyNumberFormat="1" applyBorder="1"/>
    <xf numFmtId="182" fontId="0" fillId="0" borderId="1" xfId="0" applyNumberFormat="1" applyBorder="1"/>
    <xf numFmtId="182" fontId="0" fillId="0" borderId="93" xfId="0" applyNumberFormat="1" applyBorder="1"/>
    <xf numFmtId="182" fontId="0" fillId="0" borderId="67" xfId="0" applyNumberFormat="1" applyBorder="1"/>
    <xf numFmtId="182" fontId="0" fillId="23" borderId="83" xfId="0" applyNumberFormat="1" applyFill="1" applyBorder="1"/>
    <xf numFmtId="182" fontId="0" fillId="0" borderId="67" xfId="0" applyNumberFormat="1" applyBorder="1" applyAlignment="1">
      <alignment horizontal="center"/>
    </xf>
    <xf numFmtId="182" fontId="0" fillId="0" borderId="62" xfId="0" applyNumberFormat="1" applyBorder="1"/>
    <xf numFmtId="182" fontId="0" fillId="23" borderId="72" xfId="0" applyNumberFormat="1" applyFill="1" applyBorder="1"/>
    <xf numFmtId="182" fontId="0" fillId="0" borderId="11" xfId="0" applyNumberFormat="1" applyBorder="1"/>
    <xf numFmtId="182" fontId="0" fillId="0" borderId="62" xfId="0" applyNumberFormat="1" applyBorder="1" applyAlignment="1">
      <alignment horizontal="center"/>
    </xf>
    <xf numFmtId="182" fontId="0" fillId="0" borderId="16" xfId="0" applyNumberFormat="1" applyBorder="1"/>
    <xf numFmtId="182" fontId="0" fillId="0" borderId="19" xfId="0" applyNumberFormat="1" applyBorder="1"/>
    <xf numFmtId="182" fontId="0" fillId="0" borderId="13" xfId="0" applyNumberFormat="1" applyBorder="1"/>
    <xf numFmtId="182" fontId="0" fillId="0" borderId="40" xfId="0" applyNumberFormat="1" applyBorder="1"/>
    <xf numFmtId="182" fontId="0" fillId="0" borderId="12" xfId="0" applyNumberFormat="1" applyBorder="1"/>
    <xf numFmtId="182" fontId="0" fillId="23" borderId="71" xfId="0" applyNumberFormat="1" applyFill="1" applyBorder="1"/>
    <xf numFmtId="182" fontId="0" fillId="0" borderId="60" xfId="0" applyNumberFormat="1" applyBorder="1"/>
    <xf numFmtId="182" fontId="0" fillId="0" borderId="76" xfId="0" applyNumberFormat="1" applyBorder="1"/>
    <xf numFmtId="182" fontId="0" fillId="0" borderId="54" xfId="0" applyNumberFormat="1" applyBorder="1"/>
    <xf numFmtId="182" fontId="0" fillId="0" borderId="49" xfId="0" applyNumberFormat="1" applyBorder="1"/>
    <xf numFmtId="182" fontId="0" fillId="0" borderId="80" xfId="0" applyNumberFormat="1" applyBorder="1"/>
    <xf numFmtId="182" fontId="0" fillId="0" borderId="82" xfId="0" applyNumberFormat="1" applyBorder="1"/>
    <xf numFmtId="182" fontId="0" fillId="0" borderId="54" xfId="0" applyNumberFormat="1" applyBorder="1" applyAlignment="1">
      <alignment horizontal="center"/>
    </xf>
    <xf numFmtId="182" fontId="0" fillId="0" borderId="77" xfId="0" applyNumberFormat="1" applyBorder="1"/>
    <xf numFmtId="182" fontId="0" fillId="21" borderId="15" xfId="0" applyNumberFormat="1" applyFill="1" applyBorder="1"/>
    <xf numFmtId="182" fontId="0" fillId="21" borderId="66" xfId="0" applyNumberFormat="1" applyFill="1" applyBorder="1"/>
    <xf numFmtId="182" fontId="0" fillId="21" borderId="70" xfId="0" applyNumberFormat="1" applyFill="1" applyBorder="1"/>
    <xf numFmtId="182" fontId="0" fillId="21" borderId="53" xfId="0" applyNumberFormat="1" applyFill="1" applyBorder="1" applyAlignment="1">
      <alignment horizontal="center"/>
    </xf>
    <xf numFmtId="182" fontId="0" fillId="21" borderId="32" xfId="0" applyNumberFormat="1" applyFill="1" applyBorder="1" applyAlignment="1">
      <alignment horizontal="center"/>
    </xf>
    <xf numFmtId="182" fontId="0" fillId="21" borderId="53" xfId="0" applyNumberFormat="1" applyFill="1" applyBorder="1"/>
    <xf numFmtId="182" fontId="0" fillId="0" borderId="2" xfId="0" applyNumberFormat="1" applyBorder="1"/>
    <xf numFmtId="182" fontId="0" fillId="0" borderId="58" xfId="0" applyNumberFormat="1" applyBorder="1"/>
    <xf numFmtId="182" fontId="0" fillId="23" borderId="70" xfId="0" applyNumberFormat="1" applyFill="1" applyBorder="1"/>
    <xf numFmtId="182" fontId="0" fillId="0" borderId="10" xfId="0" applyNumberFormat="1" applyBorder="1"/>
    <xf numFmtId="182" fontId="0" fillId="0" borderId="64" xfId="0" applyNumberFormat="1" applyBorder="1"/>
    <xf numFmtId="182" fontId="0" fillId="0" borderId="71" xfId="0" applyNumberFormat="1" applyBorder="1"/>
    <xf numFmtId="182" fontId="0" fillId="0" borderId="6" xfId="0" applyNumberFormat="1" applyBorder="1"/>
    <xf numFmtId="182" fontId="0" fillId="0" borderId="39" xfId="0" applyNumberFormat="1" applyBorder="1"/>
    <xf numFmtId="182" fontId="0" fillId="0" borderId="95" xfId="0" applyNumberFormat="1" applyBorder="1"/>
    <xf numFmtId="182" fontId="0" fillId="0" borderId="82" xfId="0" applyNumberFormat="1" applyBorder="1" applyAlignment="1">
      <alignment horizontal="center"/>
    </xf>
    <xf numFmtId="182" fontId="0" fillId="0" borderId="1" xfId="0" applyNumberFormat="1" applyBorder="1" applyAlignment="1">
      <alignment horizontal="center"/>
    </xf>
    <xf numFmtId="182" fontId="0" fillId="0" borderId="16" xfId="0" applyNumberFormat="1" applyBorder="1" applyAlignment="1">
      <alignment horizontal="center"/>
    </xf>
    <xf numFmtId="182" fontId="0" fillId="0" borderId="5" xfId="0" applyNumberFormat="1" applyBorder="1" applyAlignment="1">
      <alignment horizontal="center"/>
    </xf>
    <xf numFmtId="182" fontId="0" fillId="0" borderId="41" xfId="0" applyNumberFormat="1" applyBorder="1"/>
    <xf numFmtId="182" fontId="0" fillId="0" borderId="69" xfId="0" applyNumberFormat="1" applyBorder="1"/>
    <xf numFmtId="182" fontId="0" fillId="0" borderId="60" xfId="0" applyNumberFormat="1" applyBorder="1" applyAlignment="1">
      <alignment horizontal="center"/>
    </xf>
    <xf numFmtId="182" fontId="0" fillId="0" borderId="19" xfId="0" applyNumberFormat="1" applyBorder="1" applyAlignment="1">
      <alignment horizontal="center"/>
    </xf>
    <xf numFmtId="182" fontId="0" fillId="0" borderId="12" xfId="0" applyNumberFormat="1" applyBorder="1" applyAlignment="1">
      <alignment horizontal="center"/>
    </xf>
    <xf numFmtId="182" fontId="0" fillId="0" borderId="13" xfId="0" applyNumberFormat="1" applyBorder="1" applyAlignment="1">
      <alignment horizontal="center"/>
    </xf>
    <xf numFmtId="0" fontId="4" fillId="0" borderId="73" xfId="0" applyFont="1" applyBorder="1" applyAlignment="1">
      <alignment horizontal="center" vertical="center"/>
    </xf>
    <xf numFmtId="182" fontId="0" fillId="0" borderId="43" xfId="0" applyNumberFormat="1" applyBorder="1"/>
    <xf numFmtId="3" fontId="0" fillId="0" borderId="32" xfId="0" applyNumberFormat="1" applyBorder="1" applyAlignment="1">
      <alignment horizontal="center"/>
    </xf>
    <xf numFmtId="0" fontId="4" fillId="23" borderId="14" xfId="0" applyFont="1" applyFill="1" applyBorder="1" applyAlignment="1">
      <alignment horizontal="center"/>
    </xf>
    <xf numFmtId="171" fontId="18" fillId="7" borderId="85" xfId="0" applyNumberFormat="1" applyFont="1" applyFill="1" applyBorder="1" applyAlignment="1">
      <alignment horizontal="center" vertical="center" wrapText="1"/>
    </xf>
    <xf numFmtId="9" fontId="18" fillId="7" borderId="87" xfId="0" applyNumberFormat="1" applyFont="1" applyFill="1" applyBorder="1" applyAlignment="1">
      <alignment horizontal="center" vertical="center" wrapText="1"/>
    </xf>
    <xf numFmtId="181" fontId="0" fillId="0" borderId="50" xfId="1" applyNumberFormat="1" applyFont="1" applyBorder="1" applyAlignment="1">
      <alignment horizontal="center"/>
    </xf>
    <xf numFmtId="167" fontId="0" fillId="0" borderId="16" xfId="1" applyNumberFormat="1" applyFont="1" applyBorder="1" applyAlignment="1">
      <alignment horizontal="center" vertical="center"/>
    </xf>
    <xf numFmtId="0" fontId="0" fillId="0" borderId="3" xfId="1" applyNumberFormat="1" applyFont="1" applyBorder="1" applyAlignment="1">
      <alignment horizontal="center" vertical="center"/>
    </xf>
    <xf numFmtId="0" fontId="0" fillId="0" borderId="4" xfId="1" applyNumberFormat="1" applyFont="1" applyBorder="1" applyAlignment="1">
      <alignment horizontal="center" vertical="center"/>
    </xf>
    <xf numFmtId="0" fontId="0" fillId="0" borderId="4" xfId="1" applyNumberFormat="1" applyFont="1" applyFill="1" applyBorder="1" applyAlignment="1">
      <alignment horizontal="center" vertical="center"/>
    </xf>
    <xf numFmtId="165" fontId="0" fillId="0" borderId="2" xfId="1" applyFont="1" applyBorder="1"/>
    <xf numFmtId="165" fontId="0" fillId="0" borderId="3" xfId="1" applyFont="1" applyBorder="1"/>
    <xf numFmtId="165" fontId="0" fillId="0" borderId="6" xfId="1" applyFont="1" applyBorder="1"/>
    <xf numFmtId="0" fontId="18" fillId="5" borderId="28" xfId="0" applyFont="1" applyFill="1" applyBorder="1" applyAlignment="1">
      <alignment horizontal="center" vertical="center"/>
    </xf>
    <xf numFmtId="166" fontId="18" fillId="5" borderId="29" xfId="0" applyNumberFormat="1" applyFont="1" applyFill="1" applyBorder="1" applyAlignment="1">
      <alignment horizontal="center" vertical="center"/>
    </xf>
    <xf numFmtId="0" fontId="18" fillId="5" borderId="29" xfId="0" applyFont="1" applyFill="1" applyBorder="1" applyAlignment="1">
      <alignment horizontal="center" vertical="center"/>
    </xf>
    <xf numFmtId="2" fontId="18" fillId="5" borderId="30" xfId="0" applyNumberFormat="1" applyFont="1" applyFill="1" applyBorder="1" applyAlignment="1">
      <alignment horizontal="center" vertical="center"/>
    </xf>
    <xf numFmtId="49" fontId="19" fillId="3" borderId="11" xfId="103" applyNumberFormat="1" applyFont="1" applyFill="1" applyBorder="1" applyAlignment="1">
      <alignment horizontal="center" vertical="center"/>
    </xf>
    <xf numFmtId="165" fontId="19" fillId="0" borderId="5" xfId="1" applyFont="1" applyBorder="1"/>
    <xf numFmtId="0" fontId="4" fillId="5" borderId="30" xfId="0" applyFont="1" applyFill="1" applyBorder="1" applyAlignment="1">
      <alignment horizontal="center" vertical="center" wrapText="1"/>
    </xf>
    <xf numFmtId="1" fontId="8" fillId="0" borderId="1" xfId="0" applyNumberFormat="1" applyFont="1" applyBorder="1" applyAlignment="1">
      <alignment horizontal="center" vertical="center" wrapText="1"/>
    </xf>
    <xf numFmtId="165" fontId="8" fillId="0" borderId="1" xfId="1" applyFont="1" applyBorder="1" applyAlignment="1">
      <alignment horizontal="center" vertical="center" wrapText="1"/>
    </xf>
    <xf numFmtId="1" fontId="8" fillId="0" borderId="2" xfId="0" applyNumberFormat="1" applyFont="1" applyBorder="1" applyAlignment="1">
      <alignment horizontal="center" vertical="center" wrapText="1"/>
    </xf>
    <xf numFmtId="165" fontId="8" fillId="0" borderId="16" xfId="1" applyFont="1" applyBorder="1" applyAlignment="1">
      <alignment horizontal="center" vertical="center" wrapText="1"/>
    </xf>
    <xf numFmtId="1" fontId="8" fillId="0" borderId="16" xfId="0" applyNumberFormat="1" applyFont="1" applyBorder="1" applyAlignment="1">
      <alignment horizontal="center" vertical="center" wrapText="1"/>
    </xf>
    <xf numFmtId="165" fontId="8" fillId="0" borderId="3" xfId="1" applyFont="1" applyBorder="1" applyAlignment="1">
      <alignment horizontal="center" vertical="center" wrapText="1"/>
    </xf>
    <xf numFmtId="1" fontId="8" fillId="0" borderId="10" xfId="0" applyNumberFormat="1" applyFont="1" applyBorder="1" applyAlignment="1">
      <alignment horizontal="center" vertical="center" wrapText="1"/>
    </xf>
    <xf numFmtId="165" fontId="8" fillId="0" borderId="4" xfId="1" applyFont="1" applyBorder="1" applyAlignment="1">
      <alignment horizontal="center" vertical="center" wrapText="1"/>
    </xf>
    <xf numFmtId="0" fontId="4" fillId="5" borderId="75" xfId="0" applyFont="1" applyFill="1" applyBorder="1" applyAlignment="1">
      <alignment horizontal="center" vertical="center"/>
    </xf>
    <xf numFmtId="0" fontId="0" fillId="0" borderId="2" xfId="0" applyBorder="1" applyAlignment="1">
      <alignment vertical="center" wrapText="1"/>
    </xf>
    <xf numFmtId="165" fontId="0" fillId="0" borderId="16" xfId="1" applyFont="1" applyBorder="1" applyAlignment="1">
      <alignment vertical="center"/>
    </xf>
    <xf numFmtId="165" fontId="0" fillId="0" borderId="3" xfId="1" applyFont="1" applyBorder="1" applyAlignment="1">
      <alignment vertical="center"/>
    </xf>
    <xf numFmtId="0" fontId="8" fillId="0" borderId="10" xfId="0" applyFont="1" applyBorder="1" applyAlignment="1">
      <alignment horizontal="center" vertical="center" wrapText="1"/>
    </xf>
    <xf numFmtId="0" fontId="8" fillId="0" borderId="39" xfId="0" applyFont="1" applyBorder="1" applyAlignment="1">
      <alignment horizontal="center" vertical="center" wrapText="1"/>
    </xf>
    <xf numFmtId="0" fontId="8" fillId="0" borderId="37" xfId="0" applyFont="1" applyBorder="1" applyAlignment="1">
      <alignment horizontal="center" vertical="center" wrapText="1"/>
    </xf>
    <xf numFmtId="165" fontId="8" fillId="0" borderId="35" xfId="1" applyFont="1" applyBorder="1" applyAlignment="1">
      <alignment horizontal="center" vertical="center" wrapText="1"/>
    </xf>
    <xf numFmtId="0" fontId="8" fillId="0" borderId="2" xfId="0" applyFont="1" applyBorder="1" applyAlignment="1">
      <alignment horizontal="center" vertical="center" wrapText="1"/>
    </xf>
    <xf numFmtId="165" fontId="8" fillId="0" borderId="16" xfId="1" applyFont="1" applyBorder="1" applyAlignment="1">
      <alignment vertical="center" wrapText="1"/>
    </xf>
    <xf numFmtId="0" fontId="8" fillId="0" borderId="16" xfId="0" applyFont="1" applyBorder="1" applyAlignment="1">
      <alignment horizontal="center" vertical="center" wrapText="1"/>
    </xf>
    <xf numFmtId="0" fontId="8" fillId="20" borderId="1" xfId="0" applyFont="1" applyFill="1" applyBorder="1" applyAlignment="1">
      <alignment horizontal="center" vertical="center" wrapText="1"/>
    </xf>
    <xf numFmtId="0" fontId="8" fillId="20" borderId="15" xfId="0" applyFont="1" applyFill="1" applyBorder="1" applyAlignment="1">
      <alignment horizontal="center" vertical="center" wrapText="1"/>
    </xf>
    <xf numFmtId="0" fontId="9" fillId="5" borderId="11" xfId="0" applyFont="1" applyFill="1" applyBorder="1" applyAlignment="1">
      <alignment horizontal="center" vertical="center" wrapText="1"/>
    </xf>
    <xf numFmtId="0" fontId="9" fillId="5" borderId="5" xfId="0" applyFont="1" applyFill="1" applyBorder="1" applyAlignment="1">
      <alignment horizontal="center" vertical="center" wrapText="1"/>
    </xf>
    <xf numFmtId="43" fontId="9" fillId="5" borderId="5" xfId="103" applyFont="1" applyFill="1" applyBorder="1" applyAlignment="1">
      <alignment horizontal="center" vertical="center" wrapText="1"/>
    </xf>
    <xf numFmtId="0" fontId="9" fillId="5" borderId="6" xfId="0" applyFont="1" applyFill="1" applyBorder="1" applyAlignment="1">
      <alignment horizontal="center" vertical="center" wrapText="1"/>
    </xf>
    <xf numFmtId="165" fontId="8" fillId="0" borderId="15" xfId="1" applyFont="1" applyBorder="1" applyAlignment="1">
      <alignment horizontal="center" vertical="center" wrapText="1"/>
    </xf>
    <xf numFmtId="0" fontId="8" fillId="20" borderId="20" xfId="0" applyFont="1" applyFill="1" applyBorder="1" applyAlignment="1">
      <alignment horizontal="left" vertical="center" wrapText="1"/>
    </xf>
    <xf numFmtId="165" fontId="8" fillId="0" borderId="27" xfId="1" applyFont="1" applyBorder="1" applyAlignment="1">
      <alignment horizontal="center" vertical="center" wrapText="1"/>
    </xf>
    <xf numFmtId="0" fontId="8" fillId="20" borderId="10" xfId="0" applyFont="1" applyFill="1" applyBorder="1" applyAlignment="1">
      <alignment horizontal="left" vertical="center" wrapText="1"/>
    </xf>
    <xf numFmtId="165" fontId="9" fillId="5" borderId="4" xfId="1" applyFont="1" applyFill="1" applyBorder="1" applyAlignment="1">
      <alignment horizontal="center" vertical="center" wrapText="1"/>
    </xf>
    <xf numFmtId="0" fontId="80" fillId="0" borderId="44" xfId="0" applyFont="1" applyBorder="1" applyAlignment="1">
      <alignment horizontal="center" vertical="center"/>
    </xf>
    <xf numFmtId="0" fontId="8" fillId="0" borderId="35" xfId="0" applyFont="1" applyBorder="1" applyAlignment="1">
      <alignment horizontal="center" vertical="center" wrapText="1"/>
    </xf>
    <xf numFmtId="0" fontId="9" fillId="5" borderId="25" xfId="0" applyFont="1" applyFill="1" applyBorder="1" applyAlignment="1">
      <alignment horizontal="center" vertical="center" wrapText="1"/>
    </xf>
    <xf numFmtId="165" fontId="8" fillId="0" borderId="52" xfId="1" applyFont="1" applyBorder="1" applyAlignment="1">
      <alignment horizontal="center" vertical="center" wrapText="1"/>
    </xf>
    <xf numFmtId="1" fontId="8" fillId="0" borderId="39" xfId="0" applyNumberFormat="1" applyFont="1" applyBorder="1" applyAlignment="1">
      <alignment horizontal="center" vertical="center" wrapText="1"/>
    </xf>
    <xf numFmtId="165" fontId="8" fillId="0" borderId="50" xfId="1" applyFont="1" applyBorder="1" applyAlignment="1">
      <alignment horizontal="center" vertical="center" wrapText="1"/>
    </xf>
    <xf numFmtId="165" fontId="18" fillId="0" borderId="3" xfId="1" applyFont="1" applyBorder="1" applyAlignment="1">
      <alignment horizontal="center"/>
    </xf>
    <xf numFmtId="0" fontId="0" fillId="0" borderId="39" xfId="0" applyBorder="1" applyAlignment="1">
      <alignment vertical="center" wrapText="1"/>
    </xf>
    <xf numFmtId="165" fontId="0" fillId="0" borderId="49" xfId="1" applyFont="1" applyBorder="1" applyAlignment="1">
      <alignment vertical="center"/>
    </xf>
    <xf numFmtId="165" fontId="0" fillId="0" borderId="50" xfId="1" applyFont="1" applyBorder="1" applyAlignment="1">
      <alignment vertical="center"/>
    </xf>
    <xf numFmtId="165" fontId="8" fillId="0" borderId="3" xfId="1" applyFont="1" applyBorder="1" applyAlignment="1">
      <alignment vertical="center" wrapText="1"/>
    </xf>
    <xf numFmtId="165" fontId="8" fillId="0" borderId="4" xfId="1" applyFont="1" applyBorder="1" applyAlignment="1">
      <alignment vertical="center" wrapText="1"/>
    </xf>
    <xf numFmtId="165" fontId="8" fillId="0" borderId="50" xfId="1" applyFont="1" applyBorder="1" applyAlignment="1">
      <alignment vertical="center" wrapText="1"/>
    </xf>
    <xf numFmtId="165" fontId="19" fillId="0" borderId="3" xfId="1" applyFont="1" applyBorder="1"/>
    <xf numFmtId="165" fontId="19" fillId="0" borderId="4" xfId="1" applyFont="1" applyBorder="1"/>
    <xf numFmtId="165" fontId="19" fillId="0" borderId="6" xfId="1" applyFont="1" applyBorder="1"/>
    <xf numFmtId="165" fontId="18" fillId="0" borderId="6" xfId="1" applyFont="1" applyBorder="1"/>
    <xf numFmtId="165" fontId="18" fillId="0" borderId="30" xfId="1" applyFont="1" applyBorder="1"/>
    <xf numFmtId="0" fontId="8" fillId="0" borderId="10" xfId="0" applyFont="1" applyBorder="1" applyAlignment="1">
      <alignment horizontal="left" vertical="center"/>
    </xf>
    <xf numFmtId="0" fontId="8" fillId="0" borderId="4" xfId="0" applyFont="1" applyBorder="1" applyAlignment="1">
      <alignment horizontal="center" vertical="center"/>
    </xf>
    <xf numFmtId="0" fontId="8" fillId="0" borderId="39" xfId="0" applyFont="1" applyBorder="1" applyAlignment="1">
      <alignment horizontal="left" vertical="center"/>
    </xf>
    <xf numFmtId="0" fontId="8" fillId="0" borderId="50" xfId="0" applyFont="1" applyBorder="1" applyAlignment="1">
      <alignment horizontal="center" vertical="center"/>
    </xf>
    <xf numFmtId="0" fontId="9" fillId="5" borderId="17" xfId="0" applyFont="1" applyFill="1" applyBorder="1" applyAlignment="1">
      <alignment horizontal="left" vertical="center"/>
    </xf>
    <xf numFmtId="0" fontId="9" fillId="5" borderId="26" xfId="0" applyFont="1" applyFill="1" applyBorder="1" applyAlignment="1">
      <alignment horizontal="center" vertical="center"/>
    </xf>
    <xf numFmtId="0" fontId="9" fillId="5" borderId="16" xfId="0" applyFont="1" applyFill="1" applyBorder="1" applyAlignment="1">
      <alignment horizontal="center" vertical="center"/>
    </xf>
    <xf numFmtId="0" fontId="9" fillId="5" borderId="3" xfId="0" applyFont="1" applyFill="1" applyBorder="1" applyAlignment="1">
      <alignment horizontal="center" vertical="center"/>
    </xf>
    <xf numFmtId="0" fontId="8" fillId="0" borderId="10" xfId="0" applyFont="1" applyBorder="1" applyAlignment="1">
      <alignment horizontal="justify" vertical="center"/>
    </xf>
    <xf numFmtId="0" fontId="8" fillId="0" borderId="39" xfId="0" applyFont="1" applyBorder="1" applyAlignment="1">
      <alignment horizontal="justify" vertical="center"/>
    </xf>
    <xf numFmtId="0" fontId="8" fillId="0" borderId="49" xfId="0" applyFont="1" applyBorder="1" applyAlignment="1">
      <alignment horizontal="center" vertical="center"/>
    </xf>
    <xf numFmtId="165" fontId="4" fillId="0" borderId="30" xfId="1" applyFont="1" applyFill="1" applyBorder="1"/>
    <xf numFmtId="165" fontId="4" fillId="0" borderId="6" xfId="1" applyFont="1" applyBorder="1"/>
    <xf numFmtId="0" fontId="9" fillId="0" borderId="0" xfId="0" applyFont="1" applyAlignment="1">
      <alignment horizontal="center" vertical="center" wrapText="1"/>
    </xf>
    <xf numFmtId="0" fontId="9" fillId="0" borderId="0" xfId="0" applyFont="1" applyAlignment="1">
      <alignment horizontal="right" vertical="center" wrapText="1"/>
    </xf>
    <xf numFmtId="0" fontId="7" fillId="0" borderId="1" xfId="0" applyFont="1" applyBorder="1" applyAlignment="1">
      <alignment horizontal="center" vertical="center"/>
    </xf>
    <xf numFmtId="0" fontId="7" fillId="0" borderId="15" xfId="0" applyFont="1" applyBorder="1" applyAlignment="1">
      <alignment horizontal="center" vertical="center"/>
    </xf>
    <xf numFmtId="0" fontId="7" fillId="0" borderId="20" xfId="0" applyFont="1" applyBorder="1" applyAlignment="1">
      <alignment horizontal="center" vertical="center"/>
    </xf>
    <xf numFmtId="0" fontId="7" fillId="0" borderId="27" xfId="0" applyFont="1" applyBorder="1" applyAlignment="1">
      <alignment horizontal="center" vertical="center"/>
    </xf>
    <xf numFmtId="0" fontId="7" fillId="0" borderId="10" xfId="0" applyFont="1" applyBorder="1" applyAlignment="1">
      <alignment horizontal="center" vertical="center"/>
    </xf>
    <xf numFmtId="0" fontId="7" fillId="0" borderId="4" xfId="0" applyFont="1" applyBorder="1" applyAlignment="1">
      <alignment horizontal="center" vertical="center"/>
    </xf>
    <xf numFmtId="0" fontId="7" fillId="0" borderId="39" xfId="0" applyFont="1" applyBorder="1" applyAlignment="1">
      <alignment horizontal="center" vertical="center"/>
    </xf>
    <xf numFmtId="0" fontId="7" fillId="0" borderId="49" xfId="0" applyFont="1" applyBorder="1" applyAlignment="1">
      <alignment horizontal="center" vertical="center"/>
    </xf>
    <xf numFmtId="0" fontId="7" fillId="0" borderId="50" xfId="0" applyFont="1" applyBorder="1" applyAlignment="1">
      <alignment horizontal="center" vertical="center"/>
    </xf>
    <xf numFmtId="0" fontId="21" fillId="5" borderId="17"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21" fillId="5" borderId="26" xfId="0" applyFont="1" applyFill="1" applyBorder="1" applyAlignment="1">
      <alignment horizontal="center" vertical="center" wrapText="1"/>
    </xf>
    <xf numFmtId="0" fontId="8" fillId="0" borderId="15" xfId="0" applyFont="1" applyBorder="1" applyAlignment="1">
      <alignment horizontal="center" vertical="center" wrapText="1"/>
    </xf>
    <xf numFmtId="0" fontId="8" fillId="0" borderId="20" xfId="0" applyFont="1" applyBorder="1" applyAlignment="1">
      <alignment vertical="center" wrapText="1"/>
    </xf>
    <xf numFmtId="0" fontId="8" fillId="0" borderId="27" xfId="0" applyFont="1" applyBorder="1" applyAlignment="1">
      <alignment horizontal="center" vertical="center" wrapText="1"/>
    </xf>
    <xf numFmtId="165" fontId="18" fillId="0" borderId="3" xfId="1" applyFont="1" applyBorder="1"/>
    <xf numFmtId="167" fontId="0" fillId="0" borderId="4" xfId="0" applyNumberFormat="1" applyBorder="1"/>
    <xf numFmtId="167" fontId="4" fillId="5" borderId="29" xfId="1" applyNumberFormat="1" applyFont="1" applyFill="1" applyBorder="1" applyAlignment="1">
      <alignment horizontal="center" vertical="center"/>
    </xf>
    <xf numFmtId="165" fontId="28" fillId="0" borderId="1" xfId="1" applyFont="1" applyBorder="1" applyAlignment="1">
      <alignment horizontal="center"/>
    </xf>
    <xf numFmtId="165" fontId="3" fillId="0" borderId="1" xfId="1" applyFont="1" applyBorder="1" applyAlignment="1">
      <alignment horizontal="center"/>
    </xf>
    <xf numFmtId="165" fontId="28" fillId="20" borderId="1" xfId="1" applyFont="1" applyFill="1" applyBorder="1" applyAlignment="1">
      <alignment horizontal="center" vertical="top" wrapText="1"/>
    </xf>
    <xf numFmtId="165" fontId="81" fillId="20" borderId="1" xfId="1" applyFont="1" applyFill="1" applyBorder="1" applyAlignment="1">
      <alignment horizontal="center" vertical="center" wrapText="1"/>
    </xf>
    <xf numFmtId="165" fontId="3" fillId="0" borderId="16" xfId="1" applyFont="1" applyBorder="1" applyAlignment="1">
      <alignment horizontal="center"/>
    </xf>
    <xf numFmtId="165" fontId="28" fillId="0" borderId="16" xfId="1" applyFont="1" applyBorder="1" applyAlignment="1">
      <alignment horizontal="center"/>
    </xf>
    <xf numFmtId="165" fontId="81" fillId="20" borderId="5" xfId="1" applyFont="1" applyFill="1" applyBorder="1" applyAlignment="1">
      <alignment horizontal="center" vertical="center" wrapText="1"/>
    </xf>
    <xf numFmtId="165" fontId="81" fillId="20" borderId="16" xfId="1" applyFont="1" applyFill="1" applyBorder="1" applyAlignment="1">
      <alignment horizontal="center" vertical="center" wrapText="1"/>
    </xf>
    <xf numFmtId="0" fontId="8" fillId="0" borderId="2" xfId="0" applyFont="1" applyBorder="1" applyAlignment="1">
      <alignment horizontal="center" vertical="center"/>
    </xf>
    <xf numFmtId="165" fontId="8" fillId="0" borderId="16" xfId="1" applyFont="1" applyBorder="1" applyAlignment="1">
      <alignment horizontal="center" vertical="center"/>
    </xf>
    <xf numFmtId="165" fontId="8" fillId="0" borderId="5" xfId="1" applyFont="1" applyBorder="1" applyAlignment="1">
      <alignment horizontal="center" vertical="center"/>
    </xf>
    <xf numFmtId="181" fontId="0" fillId="0" borderId="16" xfId="0" applyNumberFormat="1" applyBorder="1"/>
    <xf numFmtId="168" fontId="0" fillId="0" borderId="4" xfId="2" applyNumberFormat="1" applyFont="1" applyBorder="1" applyAlignment="1">
      <alignment horizontal="center"/>
    </xf>
    <xf numFmtId="168" fontId="0" fillId="0" borderId="6" xfId="2" applyNumberFormat="1" applyFont="1" applyBorder="1" applyAlignment="1">
      <alignment horizontal="center"/>
    </xf>
    <xf numFmtId="168" fontId="0" fillId="0" borderId="3" xfId="2" applyNumberFormat="1" applyFont="1" applyBorder="1" applyAlignment="1">
      <alignment horizontal="center"/>
    </xf>
    <xf numFmtId="0" fontId="4" fillId="5" borderId="10" xfId="0" applyFont="1" applyFill="1" applyBorder="1"/>
    <xf numFmtId="168" fontId="0" fillId="0" borderId="4" xfId="2" applyNumberFormat="1" applyFont="1" applyBorder="1"/>
    <xf numFmtId="167" fontId="8" fillId="0" borderId="16" xfId="1" applyNumberFormat="1" applyFont="1" applyBorder="1" applyAlignment="1">
      <alignment horizontal="center" vertical="center"/>
    </xf>
    <xf numFmtId="165" fontId="0" fillId="0" borderId="12" xfId="1" applyFont="1" applyBorder="1"/>
    <xf numFmtId="0" fontId="8" fillId="0" borderId="39" xfId="0" applyFont="1" applyBorder="1" applyAlignment="1">
      <alignment vertical="center" wrapText="1"/>
    </xf>
    <xf numFmtId="0" fontId="8" fillId="0" borderId="50" xfId="0" applyFont="1" applyBorder="1" applyAlignment="1">
      <alignment horizontal="center" vertical="center" wrapText="1"/>
    </xf>
    <xf numFmtId="0" fontId="9" fillId="0" borderId="26" xfId="0" applyFont="1" applyBorder="1" applyAlignment="1">
      <alignment horizontal="center" vertical="center" wrapText="1"/>
    </xf>
    <xf numFmtId="0" fontId="21" fillId="0" borderId="26" xfId="0" applyFont="1" applyBorder="1" applyAlignment="1">
      <alignment horizontal="center" vertical="center"/>
    </xf>
    <xf numFmtId="165" fontId="9" fillId="0" borderId="3" xfId="1" applyFont="1" applyBorder="1" applyAlignment="1">
      <alignment vertical="center" wrapText="1"/>
    </xf>
    <xf numFmtId="168" fontId="18" fillId="7" borderId="88" xfId="0" applyNumberFormat="1" applyFont="1" applyFill="1" applyBorder="1" applyAlignment="1">
      <alignment horizontal="center" vertical="center" wrapText="1"/>
    </xf>
    <xf numFmtId="183" fontId="0" fillId="0" borderId="0" xfId="0" applyNumberFormat="1"/>
    <xf numFmtId="2" fontId="19" fillId="0" borderId="6" xfId="3" applyNumberFormat="1" applyFont="1" applyBorder="1" applyAlignment="1">
      <alignment vertical="center"/>
    </xf>
    <xf numFmtId="181" fontId="0" fillId="0" borderId="1" xfId="1" applyNumberFormat="1" applyFont="1" applyFill="1" applyBorder="1" applyAlignment="1">
      <alignment horizontal="center"/>
    </xf>
    <xf numFmtId="181" fontId="0" fillId="0" borderId="5" xfId="1" applyNumberFormat="1" applyFont="1" applyFill="1" applyBorder="1" applyAlignment="1">
      <alignment horizontal="center"/>
    </xf>
    <xf numFmtId="182" fontId="0" fillId="0" borderId="25" xfId="0" applyNumberFormat="1" applyBorder="1"/>
    <xf numFmtId="182" fontId="0" fillId="0" borderId="73" xfId="0" applyNumberFormat="1" applyBorder="1"/>
    <xf numFmtId="0" fontId="0" fillId="0" borderId="75" xfId="0" applyBorder="1"/>
    <xf numFmtId="182" fontId="0" fillId="0" borderId="94" xfId="0" applyNumberFormat="1" applyBorder="1"/>
    <xf numFmtId="182" fontId="0" fillId="0" borderId="29" xfId="0" applyNumberFormat="1" applyBorder="1"/>
    <xf numFmtId="182" fontId="0" fillId="0" borderId="31" xfId="0" applyNumberFormat="1" applyBorder="1"/>
    <xf numFmtId="182" fontId="0" fillId="23" borderId="75" xfId="0" applyNumberFormat="1" applyFill="1" applyBorder="1"/>
    <xf numFmtId="182" fontId="0" fillId="0" borderId="94" xfId="0" applyNumberFormat="1" applyBorder="1" applyAlignment="1">
      <alignment horizontal="center"/>
    </xf>
    <xf numFmtId="182" fontId="0" fillId="0" borderId="28" xfId="0" applyNumberFormat="1" applyBorder="1" applyAlignment="1">
      <alignment horizontal="center"/>
    </xf>
    <xf numFmtId="182" fontId="0" fillId="0" borderId="7" xfId="0" applyNumberFormat="1" applyBorder="1" applyAlignment="1">
      <alignment horizontal="center"/>
    </xf>
    <xf numFmtId="182" fontId="0" fillId="0" borderId="8" xfId="0" applyNumberFormat="1" applyBorder="1"/>
    <xf numFmtId="0" fontId="4" fillId="0" borderId="14" xfId="0" applyFont="1" applyBorder="1" applyAlignment="1">
      <alignment horizontal="center"/>
    </xf>
    <xf numFmtId="165" fontId="0" fillId="0" borderId="40" xfId="1" applyFont="1" applyBorder="1"/>
    <xf numFmtId="165" fontId="0" fillId="0" borderId="62" xfId="1" applyFont="1" applyBorder="1"/>
    <xf numFmtId="182" fontId="0" fillId="0" borderId="17" xfId="0" applyNumberFormat="1" applyBorder="1"/>
    <xf numFmtId="182" fontId="0" fillId="0" borderId="18" xfId="0" applyNumberFormat="1" applyBorder="1"/>
    <xf numFmtId="182" fontId="0" fillId="0" borderId="61" xfId="0" applyNumberFormat="1" applyBorder="1"/>
    <xf numFmtId="182" fontId="0" fillId="0" borderId="96" xfId="0" applyNumberFormat="1" applyBorder="1"/>
    <xf numFmtId="182" fontId="0" fillId="0" borderId="3" xfId="0" applyNumberFormat="1" applyBorder="1"/>
    <xf numFmtId="182" fontId="0" fillId="0" borderId="4" xfId="0" applyNumberFormat="1" applyBorder="1"/>
    <xf numFmtId="182" fontId="0" fillId="0" borderId="28" xfId="0" applyNumberFormat="1" applyBorder="1"/>
    <xf numFmtId="182" fontId="0" fillId="0" borderId="30" xfId="0" applyNumberFormat="1" applyBorder="1"/>
    <xf numFmtId="182" fontId="0" fillId="0" borderId="50" xfId="0" applyNumberFormat="1" applyBorder="1"/>
    <xf numFmtId="165" fontId="0" fillId="0" borderId="40" xfId="1" applyFont="1" applyBorder="1" applyAlignment="1">
      <alignment horizontal="center"/>
    </xf>
    <xf numFmtId="165" fontId="0" fillId="23" borderId="71" xfId="1" applyFont="1" applyFill="1" applyBorder="1"/>
    <xf numFmtId="165" fontId="0" fillId="23" borderId="72" xfId="1" applyFont="1" applyFill="1" applyBorder="1"/>
    <xf numFmtId="0" fontId="4" fillId="0" borderId="67" xfId="0" applyFont="1" applyBorder="1" applyAlignment="1">
      <alignment horizontal="center" vertical="center"/>
    </xf>
    <xf numFmtId="3" fontId="0" fillId="0" borderId="54" xfId="0" applyNumberFormat="1" applyBorder="1" applyAlignment="1">
      <alignment horizontal="center"/>
    </xf>
    <xf numFmtId="0" fontId="4" fillId="0" borderId="83" xfId="0" applyFont="1" applyBorder="1"/>
    <xf numFmtId="0" fontId="4" fillId="0" borderId="71" xfId="0" applyFont="1" applyBorder="1"/>
    <xf numFmtId="0" fontId="4" fillId="0" borderId="81" xfId="0" applyFont="1" applyBorder="1"/>
    <xf numFmtId="182" fontId="0" fillId="0" borderId="93" xfId="0" applyNumberFormat="1" applyBorder="1" applyAlignment="1">
      <alignment horizontal="center"/>
    </xf>
    <xf numFmtId="182" fontId="0" fillId="0" borderId="43" xfId="0" applyNumberFormat="1" applyBorder="1" applyAlignment="1">
      <alignment horizontal="center"/>
    </xf>
    <xf numFmtId="182" fontId="0" fillId="23" borderId="21" xfId="0" applyNumberFormat="1" applyFill="1" applyBorder="1"/>
    <xf numFmtId="182" fontId="0" fillId="23" borderId="81" xfId="0" applyNumberFormat="1" applyFill="1" applyBorder="1" applyAlignment="1">
      <alignment horizontal="center"/>
    </xf>
    <xf numFmtId="182" fontId="0" fillId="0" borderId="38" xfId="0" applyNumberFormat="1" applyBorder="1"/>
    <xf numFmtId="182" fontId="0" fillId="0" borderId="22" xfId="0" applyNumberFormat="1" applyBorder="1"/>
    <xf numFmtId="0" fontId="4" fillId="21" borderId="23" xfId="0" applyFont="1" applyFill="1" applyBorder="1"/>
    <xf numFmtId="182" fontId="0" fillId="21" borderId="17" xfId="0" applyNumberFormat="1" applyFill="1" applyBorder="1"/>
    <xf numFmtId="182" fontId="0" fillId="21" borderId="25" xfId="0" applyNumberFormat="1" applyFill="1" applyBorder="1"/>
    <xf numFmtId="182" fontId="0" fillId="21" borderId="73" xfId="0" applyNumberFormat="1" applyFill="1" applyBorder="1"/>
    <xf numFmtId="182" fontId="0" fillId="21" borderId="14" xfId="0" applyNumberFormat="1" applyFill="1" applyBorder="1"/>
    <xf numFmtId="182" fontId="0" fillId="21" borderId="51" xfId="0" applyNumberFormat="1" applyFill="1" applyBorder="1" applyAlignment="1">
      <alignment horizontal="center"/>
    </xf>
    <xf numFmtId="182" fontId="0" fillId="21" borderId="25" xfId="0" applyNumberFormat="1" applyFill="1" applyBorder="1" applyAlignment="1">
      <alignment horizontal="center"/>
    </xf>
    <xf numFmtId="182" fontId="0" fillId="21" borderId="73" xfId="0" applyNumberFormat="1" applyFill="1" applyBorder="1" applyAlignment="1">
      <alignment horizontal="center"/>
    </xf>
    <xf numFmtId="182" fontId="0" fillId="21" borderId="14" xfId="0" applyNumberFormat="1" applyFill="1" applyBorder="1" applyAlignment="1">
      <alignment horizontal="center"/>
    </xf>
    <xf numFmtId="182" fontId="0" fillId="21" borderId="24" xfId="0" applyNumberFormat="1" applyFill="1" applyBorder="1" applyAlignment="1">
      <alignment horizontal="center"/>
    </xf>
    <xf numFmtId="165" fontId="0" fillId="0" borderId="12" xfId="1" applyFont="1" applyBorder="1" applyAlignment="1">
      <alignment horizontal="center"/>
    </xf>
    <xf numFmtId="9" fontId="0" fillId="0" borderId="64" xfId="2" applyFont="1" applyFill="1" applyBorder="1"/>
    <xf numFmtId="167" fontId="0" fillId="0" borderId="5" xfId="1" applyNumberFormat="1" applyFont="1" applyBorder="1" applyAlignment="1">
      <alignment horizontal="center" vertical="center"/>
    </xf>
    <xf numFmtId="0" fontId="0" fillId="0" borderId="6" xfId="1" applyNumberFormat="1" applyFont="1" applyFill="1" applyBorder="1" applyAlignment="1">
      <alignment horizontal="center" vertical="center"/>
    </xf>
    <xf numFmtId="0" fontId="4" fillId="19" borderId="17" xfId="0" applyFont="1" applyFill="1" applyBorder="1" applyAlignment="1">
      <alignment horizontal="center"/>
    </xf>
    <xf numFmtId="165" fontId="4" fillId="19" borderId="25" xfId="1" applyFont="1" applyFill="1" applyBorder="1" applyAlignment="1">
      <alignment horizontal="center"/>
    </xf>
    <xf numFmtId="165" fontId="4" fillId="19" borderId="26" xfId="1" applyFont="1" applyFill="1" applyBorder="1" applyAlignment="1">
      <alignment horizontal="center"/>
    </xf>
    <xf numFmtId="167" fontId="0" fillId="0" borderId="1" xfId="1" applyNumberFormat="1" applyFont="1" applyBorder="1"/>
    <xf numFmtId="167" fontId="0" fillId="0" borderId="16" xfId="1" applyNumberFormat="1" applyFont="1" applyBorder="1"/>
    <xf numFmtId="167" fontId="0" fillId="0" borderId="5" xfId="1" applyNumberFormat="1" applyFont="1" applyBorder="1"/>
    <xf numFmtId="165" fontId="0" fillId="0" borderId="4" xfId="1" applyFont="1" applyFill="1" applyBorder="1"/>
    <xf numFmtId="9" fontId="0" fillId="0" borderId="4" xfId="2" applyFont="1" applyBorder="1" applyAlignment="1">
      <alignment horizontal="center"/>
    </xf>
    <xf numFmtId="0" fontId="82" fillId="6" borderId="0" xfId="0" applyFont="1" applyFill="1"/>
    <xf numFmtId="0" fontId="83" fillId="6" borderId="0" xfId="0" applyFont="1" applyFill="1"/>
    <xf numFmtId="0" fontId="0" fillId="3" borderId="0" xfId="0" applyFill="1"/>
    <xf numFmtId="0" fontId="19" fillId="0" borderId="7" xfId="0" applyFont="1" applyBorder="1"/>
    <xf numFmtId="0" fontId="19" fillId="0" borderId="8" xfId="0" applyFont="1" applyBorder="1"/>
    <xf numFmtId="0" fontId="19" fillId="0" borderId="9" xfId="0" applyFont="1" applyBorder="1"/>
    <xf numFmtId="0" fontId="18" fillId="86" borderId="23" xfId="0" applyFont="1" applyFill="1" applyBorder="1" applyAlignment="1">
      <alignment vertical="center"/>
    </xf>
    <xf numFmtId="0" fontId="18" fillId="86" borderId="24" xfId="0" applyFont="1" applyFill="1" applyBorder="1"/>
    <xf numFmtId="0" fontId="18" fillId="86" borderId="18" xfId="0" applyFont="1" applyFill="1" applyBorder="1"/>
    <xf numFmtId="0" fontId="19" fillId="0" borderId="44" xfId="0" applyFont="1" applyBorder="1"/>
    <xf numFmtId="0" fontId="19" fillId="0" borderId="45" xfId="0" applyFont="1" applyBorder="1"/>
    <xf numFmtId="0" fontId="18" fillId="86" borderId="14" xfId="0" applyFont="1" applyFill="1" applyBorder="1" applyAlignment="1">
      <alignment horizontal="center" vertical="center"/>
    </xf>
    <xf numFmtId="0" fontId="19" fillId="0" borderId="1" xfId="0" applyFont="1" applyBorder="1" applyAlignment="1">
      <alignment horizontal="center" vertical="center"/>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42" xfId="0" applyFont="1" applyBorder="1"/>
    <xf numFmtId="0" fontId="19" fillId="0" borderId="43" xfId="0" applyFont="1" applyBorder="1" applyAlignment="1">
      <alignment horizontal="center" vertical="center"/>
    </xf>
    <xf numFmtId="0" fontId="19" fillId="0" borderId="43" xfId="0" applyFont="1" applyBorder="1"/>
    <xf numFmtId="0" fontId="19" fillId="0" borderId="43" xfId="0" applyFont="1" applyBorder="1" applyAlignment="1">
      <alignment horizontal="center" vertical="center" wrapText="1"/>
    </xf>
    <xf numFmtId="0" fontId="19" fillId="0" borderId="22" xfId="0" applyFont="1" applyBorder="1"/>
    <xf numFmtId="0" fontId="86" fillId="0" borderId="139" xfId="0" applyFont="1" applyBorder="1" applyAlignment="1">
      <alignment horizontal="center" vertical="center" wrapText="1"/>
    </xf>
    <xf numFmtId="0" fontId="86" fillId="20" borderId="138" xfId="0" applyFont="1" applyFill="1" applyBorder="1" applyAlignment="1">
      <alignment horizontal="center" vertical="center" wrapText="1"/>
    </xf>
    <xf numFmtId="0" fontId="87" fillId="20" borderId="135" xfId="0" applyFont="1" applyFill="1" applyBorder="1" applyAlignment="1">
      <alignment horizontal="center" vertical="center" wrapText="1"/>
    </xf>
    <xf numFmtId="0" fontId="87" fillId="20" borderId="126" xfId="0" applyFont="1" applyFill="1" applyBorder="1" applyAlignment="1">
      <alignment horizontal="center" vertical="center" wrapText="1"/>
    </xf>
    <xf numFmtId="0" fontId="87" fillId="20" borderId="140" xfId="0" applyFont="1" applyFill="1" applyBorder="1" applyAlignment="1">
      <alignment horizontal="center" vertical="center" wrapText="1"/>
    </xf>
    <xf numFmtId="0" fontId="87" fillId="20" borderId="135" xfId="0" applyFont="1" applyFill="1" applyBorder="1" applyAlignment="1">
      <alignment horizontal="left" vertical="center" wrapText="1"/>
    </xf>
    <xf numFmtId="0" fontId="87" fillId="20" borderId="135" xfId="0" applyFont="1" applyFill="1" applyBorder="1" applyAlignment="1">
      <alignment vertical="center" wrapText="1"/>
    </xf>
    <xf numFmtId="0" fontId="86" fillId="20" borderId="135" xfId="0" applyFont="1" applyFill="1" applyBorder="1" applyAlignment="1">
      <alignment horizontal="center" vertical="center" wrapText="1"/>
    </xf>
    <xf numFmtId="0" fontId="88" fillId="20" borderId="135" xfId="0" applyFont="1" applyFill="1" applyBorder="1" applyAlignment="1">
      <alignment horizontal="center" vertical="center" wrapText="1"/>
    </xf>
    <xf numFmtId="0" fontId="86" fillId="20" borderId="137" xfId="0" applyFont="1" applyFill="1" applyBorder="1" applyAlignment="1">
      <alignment horizontal="center" vertical="center" wrapText="1"/>
    </xf>
    <xf numFmtId="0" fontId="87" fillId="20" borderId="141" xfId="0" applyFont="1" applyFill="1" applyBorder="1" applyAlignment="1">
      <alignment horizontal="center" vertical="center" wrapText="1"/>
    </xf>
    <xf numFmtId="0" fontId="87" fillId="0" borderId="141" xfId="0" applyFont="1" applyBorder="1" applyAlignment="1">
      <alignment horizontal="center" vertical="center" wrapText="1"/>
    </xf>
    <xf numFmtId="0" fontId="87" fillId="0" borderId="129" xfId="0" applyFont="1" applyBorder="1" applyAlignment="1">
      <alignment horizontal="center" vertical="center" wrapText="1"/>
    </xf>
    <xf numFmtId="0" fontId="87" fillId="20" borderId="21" xfId="0" applyFont="1" applyFill="1" applyBorder="1" applyAlignment="1">
      <alignment horizontal="center" vertical="center" wrapText="1"/>
    </xf>
    <xf numFmtId="0" fontId="87" fillId="20" borderId="141" xfId="0" applyFont="1" applyFill="1" applyBorder="1" applyAlignment="1">
      <alignment horizontal="left" vertical="center" wrapText="1"/>
    </xf>
    <xf numFmtId="0" fontId="89" fillId="0" borderId="0" xfId="0" applyFont="1" applyAlignment="1">
      <alignment horizontal="left" vertical="center" indent="1"/>
    </xf>
    <xf numFmtId="0" fontId="10" fillId="0" borderId="0" xfId="4" applyAlignment="1">
      <alignment horizontal="center" vertical="center" wrapText="1"/>
    </xf>
    <xf numFmtId="0" fontId="4" fillId="0" borderId="10" xfId="0" applyFont="1" applyBorder="1" applyAlignment="1">
      <alignment horizontal="center" vertical="center" wrapText="1"/>
    </xf>
    <xf numFmtId="167" fontId="0" fillId="0" borderId="4" xfId="0" applyNumberFormat="1" applyBorder="1" applyAlignment="1">
      <alignment horizontal="center"/>
    </xf>
    <xf numFmtId="167" fontId="0" fillId="0" borderId="6" xfId="0" applyNumberFormat="1" applyBorder="1" applyAlignment="1">
      <alignment horizontal="center"/>
    </xf>
    <xf numFmtId="167" fontId="0" fillId="0" borderId="27" xfId="0" applyNumberFormat="1" applyBorder="1" applyAlignment="1">
      <alignment horizontal="center"/>
    </xf>
    <xf numFmtId="3" fontId="0" fillId="0" borderId="5" xfId="0" applyNumberFormat="1" applyBorder="1" applyAlignment="1">
      <alignment horizontal="center"/>
    </xf>
    <xf numFmtId="9" fontId="0" fillId="0" borderId="6" xfId="2" applyFont="1" applyBorder="1" applyAlignment="1">
      <alignment horizontal="center"/>
    </xf>
    <xf numFmtId="9" fontId="0" fillId="0" borderId="15" xfId="0" applyNumberFormat="1" applyBorder="1" applyAlignment="1">
      <alignment horizontal="center"/>
    </xf>
    <xf numFmtId="9" fontId="0" fillId="0" borderId="27" xfId="2" applyFont="1" applyBorder="1" applyAlignment="1">
      <alignment horizontal="center"/>
    </xf>
    <xf numFmtId="0" fontId="18" fillId="5" borderId="26" xfId="0" applyFont="1" applyFill="1" applyBorder="1" applyAlignment="1">
      <alignment horizontal="center" vertical="center" wrapText="1"/>
    </xf>
    <xf numFmtId="173" fontId="0" fillId="0" borderId="1" xfId="0" applyNumberFormat="1" applyBorder="1" applyAlignment="1">
      <alignment horizontal="center"/>
    </xf>
    <xf numFmtId="1" fontId="0" fillId="0" borderId="4" xfId="0" applyNumberFormat="1" applyBorder="1" applyAlignment="1">
      <alignment horizontal="center"/>
    </xf>
    <xf numFmtId="173" fontId="0" fillId="0" borderId="5" xfId="0" applyNumberFormat="1" applyBorder="1" applyAlignment="1">
      <alignment horizontal="center"/>
    </xf>
    <xf numFmtId="1" fontId="0" fillId="0" borderId="6" xfId="0" applyNumberFormat="1" applyBorder="1" applyAlignment="1">
      <alignment horizontal="center"/>
    </xf>
    <xf numFmtId="0" fontId="0" fillId="0" borderId="15" xfId="0" applyBorder="1"/>
    <xf numFmtId="1" fontId="0" fillId="0" borderId="15" xfId="0" applyNumberFormat="1" applyBorder="1" applyAlignment="1">
      <alignment horizontal="center"/>
    </xf>
    <xf numFmtId="1" fontId="0" fillId="0" borderId="27" xfId="0" applyNumberFormat="1" applyBorder="1" applyAlignment="1">
      <alignment horizontal="center"/>
    </xf>
    <xf numFmtId="173" fontId="0" fillId="0" borderId="15" xfId="0" applyNumberFormat="1" applyBorder="1" applyAlignment="1">
      <alignment horizontal="center"/>
    </xf>
    <xf numFmtId="0" fontId="0" fillId="0" borderId="16" xfId="0" applyBorder="1"/>
    <xf numFmtId="173" fontId="0" fillId="0" borderId="15" xfId="0" applyNumberFormat="1" applyBorder="1" applyAlignment="1">
      <alignment horizontal="center" vertical="center"/>
    </xf>
    <xf numFmtId="9" fontId="0" fillId="0" borderId="15" xfId="0" applyNumberFormat="1" applyBorder="1" applyAlignment="1">
      <alignment horizontal="center" vertical="center"/>
    </xf>
    <xf numFmtId="1" fontId="0" fillId="0" borderId="27" xfId="0" applyNumberFormat="1" applyBorder="1" applyAlignment="1">
      <alignment horizontal="center" vertical="center"/>
    </xf>
    <xf numFmtId="173" fontId="0" fillId="0" borderId="1" xfId="0" applyNumberFormat="1" applyBorder="1" applyAlignment="1">
      <alignment horizontal="center" vertical="center"/>
    </xf>
    <xf numFmtId="9" fontId="0" fillId="0" borderId="1" xfId="0" applyNumberFormat="1" applyBorder="1" applyAlignment="1">
      <alignment horizontal="center" vertical="center"/>
    </xf>
    <xf numFmtId="1" fontId="0" fillId="0" borderId="4" xfId="0" applyNumberFormat="1" applyBorder="1" applyAlignment="1">
      <alignment horizontal="center" vertical="center"/>
    </xf>
    <xf numFmtId="173" fontId="0" fillId="0" borderId="5" xfId="0" applyNumberFormat="1" applyBorder="1" applyAlignment="1">
      <alignment horizontal="center" vertical="center"/>
    </xf>
    <xf numFmtId="9" fontId="0" fillId="0" borderId="5" xfId="0" applyNumberFormat="1" applyBorder="1" applyAlignment="1">
      <alignment horizontal="center" vertical="center"/>
    </xf>
    <xf numFmtId="1" fontId="0" fillId="0" borderId="6" xfId="0" applyNumberFormat="1" applyBorder="1" applyAlignment="1">
      <alignment horizontal="center" vertical="center"/>
    </xf>
    <xf numFmtId="165" fontId="0" fillId="0" borderId="15" xfId="1" applyFont="1" applyBorder="1" applyAlignment="1">
      <alignment horizontal="center" vertical="center"/>
    </xf>
    <xf numFmtId="165" fontId="0" fillId="0" borderId="5" xfId="1" applyFont="1" applyBorder="1" applyAlignment="1">
      <alignment horizontal="center" vertical="center"/>
    </xf>
    <xf numFmtId="2" fontId="0" fillId="0" borderId="15" xfId="0" applyNumberFormat="1" applyBorder="1" applyAlignment="1">
      <alignment horizontal="center" vertical="center"/>
    </xf>
    <xf numFmtId="2" fontId="0" fillId="0" borderId="1" xfId="0" applyNumberFormat="1" applyBorder="1" applyAlignment="1">
      <alignment horizontal="center" vertical="center"/>
    </xf>
    <xf numFmtId="2" fontId="0" fillId="0" borderId="5" xfId="0" applyNumberFormat="1" applyBorder="1" applyAlignment="1">
      <alignment horizontal="center" vertical="center"/>
    </xf>
    <xf numFmtId="166" fontId="0" fillId="0" borderId="5" xfId="0" applyNumberFormat="1" applyBorder="1" applyAlignment="1">
      <alignment horizontal="center" vertical="center"/>
    </xf>
    <xf numFmtId="1" fontId="0" fillId="0" borderId="5" xfId="0" applyNumberFormat="1" applyBorder="1" applyAlignment="1">
      <alignment horizontal="center" vertical="center"/>
    </xf>
    <xf numFmtId="185" fontId="0" fillId="0" borderId="1" xfId="0" applyNumberFormat="1" applyBorder="1" applyAlignment="1">
      <alignment horizontal="center" vertical="center"/>
    </xf>
    <xf numFmtId="164" fontId="0" fillId="3" borderId="1" xfId="0" applyNumberFormat="1" applyFill="1" applyBorder="1" applyAlignment="1">
      <alignment horizontal="center" vertical="center"/>
    </xf>
    <xf numFmtId="0" fontId="4" fillId="0" borderId="2" xfId="0" applyFont="1" applyBorder="1" applyAlignment="1">
      <alignment horizontal="center" vertical="center" wrapText="1"/>
    </xf>
    <xf numFmtId="164" fontId="0" fillId="0" borderId="16" xfId="0" applyNumberFormat="1" applyBorder="1" applyAlignment="1">
      <alignment horizontal="center" vertical="center"/>
    </xf>
    <xf numFmtId="185" fontId="0" fillId="0" borderId="4" xfId="0" applyNumberFormat="1" applyBorder="1" applyAlignment="1">
      <alignment horizontal="center" vertical="center"/>
    </xf>
    <xf numFmtId="0" fontId="4" fillId="0" borderId="39" xfId="0" applyFont="1" applyBorder="1" applyAlignment="1">
      <alignment horizontal="center" vertical="center" wrapText="1"/>
    </xf>
    <xf numFmtId="164" fontId="0" fillId="3" borderId="16" xfId="0" applyNumberFormat="1" applyFill="1" applyBorder="1" applyAlignment="1">
      <alignment horizontal="center" vertical="center"/>
    </xf>
    <xf numFmtId="164" fontId="0" fillId="3" borderId="3" xfId="0" applyNumberFormat="1" applyFill="1" applyBorder="1" applyAlignment="1">
      <alignment horizontal="center" vertical="center"/>
    </xf>
    <xf numFmtId="164" fontId="0" fillId="3" borderId="4" xfId="0" applyNumberFormat="1" applyFill="1" applyBorder="1" applyAlignment="1">
      <alignment horizontal="center" vertical="center"/>
    </xf>
    <xf numFmtId="184" fontId="0" fillId="0" borderId="49" xfId="0" applyNumberFormat="1" applyBorder="1" applyAlignment="1">
      <alignment horizontal="center" vertical="center"/>
    </xf>
    <xf numFmtId="184" fontId="0" fillId="0" borderId="50" xfId="0" applyNumberFormat="1" applyBorder="1" applyAlignment="1">
      <alignment horizontal="center" vertical="center"/>
    </xf>
    <xf numFmtId="179" fontId="19" fillId="0" borderId="44" xfId="1" applyNumberFormat="1" applyFont="1" applyBorder="1" applyAlignment="1">
      <alignment horizontal="center"/>
    </xf>
    <xf numFmtId="179" fontId="7" fillId="0" borderId="44" xfId="1" applyNumberFormat="1" applyFont="1" applyFill="1" applyBorder="1"/>
    <xf numFmtId="179" fontId="7" fillId="0" borderId="0" xfId="1" applyNumberFormat="1" applyFont="1" applyFill="1" applyBorder="1"/>
    <xf numFmtId="168" fontId="0" fillId="0" borderId="1" xfId="2" applyNumberFormat="1" applyFont="1" applyBorder="1"/>
    <xf numFmtId="168" fontId="0" fillId="0" borderId="5" xfId="2" applyNumberFormat="1" applyFont="1" applyBorder="1"/>
    <xf numFmtId="164" fontId="4" fillId="19" borderId="64" xfId="0" applyNumberFormat="1" applyFont="1" applyFill="1" applyBorder="1"/>
    <xf numFmtId="9" fontId="0" fillId="19" borderId="10" xfId="2" applyFont="1" applyFill="1" applyBorder="1"/>
    <xf numFmtId="9" fontId="0" fillId="19" borderId="64" xfId="2" applyFont="1" applyFill="1" applyBorder="1"/>
    <xf numFmtId="9" fontId="0" fillId="19" borderId="71" xfId="2" applyFont="1" applyFill="1" applyBorder="1"/>
    <xf numFmtId="179" fontId="19" fillId="0" borderId="45" xfId="1" applyNumberFormat="1" applyFont="1" applyBorder="1"/>
    <xf numFmtId="179" fontId="7" fillId="0" borderId="45" xfId="1" applyNumberFormat="1" applyFont="1" applyFill="1" applyBorder="1"/>
    <xf numFmtId="10" fontId="18" fillId="7" borderId="88" xfId="0" applyNumberFormat="1" applyFont="1" applyFill="1" applyBorder="1" applyAlignment="1">
      <alignment horizontal="center" vertical="center" wrapText="1"/>
    </xf>
    <xf numFmtId="165" fontId="19" fillId="0" borderId="5" xfId="1" applyFont="1" applyBorder="1" applyAlignment="1">
      <alignment horizontal="center"/>
    </xf>
    <xf numFmtId="182" fontId="0" fillId="0" borderId="49" xfId="0" applyNumberFormat="1" applyBorder="1" applyAlignment="1">
      <alignment horizontal="center"/>
    </xf>
    <xf numFmtId="182" fontId="0" fillId="0" borderId="80" xfId="0" applyNumberFormat="1" applyBorder="1" applyAlignment="1">
      <alignment horizontal="center"/>
    </xf>
    <xf numFmtId="165" fontId="0" fillId="0" borderId="53" xfId="1" applyFont="1" applyBorder="1"/>
    <xf numFmtId="165" fontId="0" fillId="0" borderId="66" xfId="1" applyFont="1" applyBorder="1"/>
    <xf numFmtId="165" fontId="0" fillId="23" borderId="70" xfId="1" applyFont="1" applyFill="1" applyBorder="1"/>
    <xf numFmtId="165" fontId="0" fillId="0" borderId="53" xfId="1" applyFont="1" applyBorder="1" applyAlignment="1">
      <alignment horizontal="center"/>
    </xf>
    <xf numFmtId="165" fontId="0" fillId="0" borderId="66" xfId="1" applyFont="1" applyBorder="1" applyAlignment="1">
      <alignment horizontal="center"/>
    </xf>
    <xf numFmtId="185" fontId="0" fillId="3" borderId="1" xfId="0" applyNumberFormat="1" applyFill="1" applyBorder="1" applyAlignment="1">
      <alignment horizontal="center" vertical="center"/>
    </xf>
    <xf numFmtId="185" fontId="0" fillId="3" borderId="4" xfId="0" applyNumberFormat="1" applyFill="1" applyBorder="1" applyAlignment="1">
      <alignment horizontal="center" vertical="center"/>
    </xf>
    <xf numFmtId="165" fontId="0" fillId="3" borderId="1" xfId="1" applyFont="1" applyFill="1" applyBorder="1" applyAlignment="1">
      <alignment horizontal="center"/>
    </xf>
    <xf numFmtId="165" fontId="0" fillId="3" borderId="49" xfId="1" applyFont="1" applyFill="1" applyBorder="1"/>
    <xf numFmtId="0" fontId="4" fillId="3" borderId="17" xfId="0" applyFont="1" applyFill="1" applyBorder="1"/>
    <xf numFmtId="165" fontId="4" fillId="3" borderId="25" xfId="0" applyNumberFormat="1" applyFont="1" applyFill="1" applyBorder="1"/>
    <xf numFmtId="165" fontId="4" fillId="3" borderId="26" xfId="0" applyNumberFormat="1" applyFont="1" applyFill="1" applyBorder="1"/>
    <xf numFmtId="165" fontId="0" fillId="3" borderId="4" xfId="1" applyFont="1" applyFill="1" applyBorder="1" applyAlignment="1">
      <alignment horizontal="center"/>
    </xf>
    <xf numFmtId="0" fontId="0" fillId="3" borderId="39" xfId="0" applyFill="1" applyBorder="1"/>
    <xf numFmtId="165" fontId="0" fillId="3" borderId="50" xfId="1" applyFont="1" applyFill="1" applyBorder="1"/>
    <xf numFmtId="0" fontId="0" fillId="3" borderId="20" xfId="0" applyFill="1" applyBorder="1" applyAlignment="1">
      <alignment horizontal="left"/>
    </xf>
    <xf numFmtId="165" fontId="0" fillId="3" borderId="15" xfId="1" applyFont="1" applyFill="1" applyBorder="1" applyAlignment="1">
      <alignment horizontal="center"/>
    </xf>
    <xf numFmtId="165" fontId="0" fillId="3" borderId="27" xfId="1" applyFont="1" applyFill="1" applyBorder="1" applyAlignment="1">
      <alignment horizontal="center"/>
    </xf>
    <xf numFmtId="0" fontId="4" fillId="3" borderId="2" xfId="0" applyFont="1" applyFill="1" applyBorder="1" applyAlignment="1">
      <alignment horizontal="center" vertical="top" wrapText="1"/>
    </xf>
    <xf numFmtId="3" fontId="0" fillId="87" borderId="16" xfId="0" applyNumberFormat="1" applyFill="1" applyBorder="1" applyAlignment="1">
      <alignment horizontal="center" vertical="top"/>
    </xf>
    <xf numFmtId="3" fontId="0" fillId="88" borderId="16" xfId="0" applyNumberFormat="1" applyFill="1" applyBorder="1" applyAlignment="1">
      <alignment horizontal="center" vertical="top"/>
    </xf>
    <xf numFmtId="3" fontId="0" fillId="88" borderId="3" xfId="0" applyNumberFormat="1" applyFill="1" applyBorder="1" applyAlignment="1">
      <alignment horizontal="center" vertical="top"/>
    </xf>
    <xf numFmtId="0" fontId="4" fillId="3" borderId="11" xfId="0" applyFont="1" applyFill="1" applyBorder="1" applyAlignment="1">
      <alignment horizontal="center" vertical="top" wrapText="1"/>
    </xf>
    <xf numFmtId="9" fontId="0" fillId="87" borderId="5" xfId="2" applyFont="1" applyFill="1" applyBorder="1" applyAlignment="1">
      <alignment horizontal="center" vertical="top"/>
    </xf>
    <xf numFmtId="9" fontId="0" fillId="87" borderId="6" xfId="2" applyFont="1" applyFill="1" applyBorder="1" applyAlignment="1">
      <alignment horizontal="center" vertical="top"/>
    </xf>
    <xf numFmtId="0" fontId="21" fillId="5" borderId="10" xfId="0" applyFont="1" applyFill="1" applyBorder="1" applyAlignment="1">
      <alignment horizontal="center" vertical="center" wrapText="1"/>
    </xf>
    <xf numFmtId="3" fontId="21" fillId="5" borderId="1" xfId="2" applyNumberFormat="1" applyFont="1" applyFill="1" applyBorder="1" applyAlignment="1">
      <alignment horizontal="center" vertical="center"/>
    </xf>
    <xf numFmtId="0" fontId="4" fillId="5" borderId="10" xfId="0" applyFont="1" applyFill="1" applyBorder="1" applyAlignment="1">
      <alignment horizontal="center" vertical="center" wrapText="1"/>
    </xf>
    <xf numFmtId="184" fontId="4" fillId="5" borderId="1" xfId="2" applyNumberFormat="1" applyFont="1" applyFill="1" applyBorder="1" applyAlignment="1">
      <alignment horizontal="center" vertical="center"/>
    </xf>
    <xf numFmtId="168" fontId="0" fillId="0" borderId="0" xfId="2" applyNumberFormat="1" applyFont="1"/>
    <xf numFmtId="0" fontId="4" fillId="0" borderId="43" xfId="0" applyFont="1" applyBorder="1"/>
    <xf numFmtId="182" fontId="0" fillId="0" borderId="0" xfId="0" applyNumberFormat="1"/>
    <xf numFmtId="181" fontId="0" fillId="0" borderId="0" xfId="0" applyNumberFormat="1"/>
    <xf numFmtId="180" fontId="0" fillId="0" borderId="0" xfId="0" applyNumberFormat="1"/>
    <xf numFmtId="165" fontId="0" fillId="3" borderId="1" xfId="1" applyFont="1" applyFill="1" applyBorder="1"/>
    <xf numFmtId="165" fontId="0" fillId="3" borderId="4" xfId="1" applyFont="1" applyFill="1" applyBorder="1"/>
    <xf numFmtId="0" fontId="4" fillId="5" borderId="17" xfId="0" applyFont="1" applyFill="1" applyBorder="1" applyAlignment="1">
      <alignment horizontal="left"/>
    </xf>
    <xf numFmtId="0" fontId="4" fillId="0" borderId="1" xfId="0" applyFont="1" applyBorder="1" applyAlignment="1">
      <alignment horizontal="center"/>
    </xf>
    <xf numFmtId="9" fontId="4" fillId="0" borderId="1" xfId="2" applyFont="1" applyBorder="1" applyAlignment="1">
      <alignment horizontal="center"/>
    </xf>
    <xf numFmtId="0" fontId="0" fillId="89" borderId="1" xfId="0" applyFill="1" applyBorder="1" applyAlignment="1">
      <alignment horizontal="center"/>
    </xf>
    <xf numFmtId="9" fontId="0" fillId="89" borderId="1" xfId="2" applyFont="1" applyFill="1" applyBorder="1" applyAlignment="1">
      <alignment horizontal="center"/>
    </xf>
    <xf numFmtId="0" fontId="0" fillId="0" borderId="0" xfId="0" applyAlignment="1">
      <alignment horizontal="center"/>
    </xf>
    <xf numFmtId="0" fontId="4" fillId="5" borderId="18" xfId="0" applyFont="1" applyFill="1" applyBorder="1" applyAlignment="1">
      <alignment horizontal="center" vertical="center" wrapText="1"/>
    </xf>
    <xf numFmtId="0" fontId="0" fillId="0" borderId="1" xfId="0" applyBorder="1" applyAlignment="1">
      <alignment horizontal="center" vertical="center"/>
    </xf>
    <xf numFmtId="0" fontId="0" fillId="0" borderId="5" xfId="0" applyBorder="1" applyAlignment="1">
      <alignment horizontal="center" vertical="center"/>
    </xf>
    <xf numFmtId="0" fontId="0" fillId="0" borderId="4" xfId="0" applyBorder="1" applyAlignment="1">
      <alignment horizontal="center" vertical="center"/>
    </xf>
    <xf numFmtId="166" fontId="0" fillId="0" borderId="4" xfId="0" applyNumberFormat="1" applyBorder="1" applyAlignment="1">
      <alignment horizontal="center" vertical="center"/>
    </xf>
    <xf numFmtId="166" fontId="0" fillId="0" borderId="6" xfId="0" applyNumberFormat="1" applyBorder="1" applyAlignment="1">
      <alignment horizontal="center" vertical="center"/>
    </xf>
    <xf numFmtId="0" fontId="53" fillId="4" borderId="18" xfId="0" applyFont="1" applyFill="1" applyBorder="1" applyAlignment="1">
      <alignment horizontal="center" vertical="center"/>
    </xf>
    <xf numFmtId="3" fontId="0" fillId="0" borderId="16" xfId="0" applyNumberFormat="1" applyBorder="1" applyAlignment="1">
      <alignment horizontal="center" vertical="center"/>
    </xf>
    <xf numFmtId="0" fontId="1" fillId="5" borderId="17" xfId="0" applyFont="1" applyFill="1" applyBorder="1" applyAlignment="1">
      <alignment horizontal="center" vertical="center"/>
    </xf>
    <xf numFmtId="0" fontId="1" fillId="5" borderId="25" xfId="0" applyFont="1" applyFill="1" applyBorder="1" applyAlignment="1">
      <alignment horizontal="center" vertical="center"/>
    </xf>
    <xf numFmtId="0" fontId="4" fillId="5" borderId="25" xfId="0" applyFont="1" applyFill="1" applyBorder="1" applyAlignment="1">
      <alignment horizontal="center"/>
    </xf>
    <xf numFmtId="0" fontId="4" fillId="5" borderId="26" xfId="0" applyFont="1" applyFill="1" applyBorder="1" applyAlignment="1">
      <alignment horizontal="center"/>
    </xf>
    <xf numFmtId="0" fontId="0" fillId="5" borderId="17" xfId="0" applyFill="1" applyBorder="1" applyAlignment="1">
      <alignment horizontal="center"/>
    </xf>
    <xf numFmtId="0" fontId="0" fillId="5" borderId="25" xfId="0" applyFill="1" applyBorder="1" applyAlignment="1">
      <alignment horizontal="center"/>
    </xf>
    <xf numFmtId="0" fontId="18" fillId="5" borderId="17" xfId="0" applyFont="1" applyFill="1" applyBorder="1" applyAlignment="1">
      <alignment horizontal="center"/>
    </xf>
    <xf numFmtId="0" fontId="5" fillId="5" borderId="25" xfId="0" applyFont="1" applyFill="1" applyBorder="1" applyAlignment="1">
      <alignment horizontal="center" vertical="center"/>
    </xf>
    <xf numFmtId="0" fontId="0" fillId="0" borderId="3" xfId="0" applyBorder="1" applyAlignment="1">
      <alignment horizontal="center" vertical="center"/>
    </xf>
    <xf numFmtId="0" fontId="4" fillId="5" borderId="25" xfId="0" applyFont="1" applyFill="1" applyBorder="1" applyAlignment="1">
      <alignment horizontal="center" vertical="center"/>
    </xf>
    <xf numFmtId="0" fontId="4" fillId="5" borderId="23" xfId="0" applyFont="1" applyFill="1" applyBorder="1" applyAlignment="1">
      <alignment horizontal="center"/>
    </xf>
    <xf numFmtId="0" fontId="4" fillId="5" borderId="28" xfId="0" applyFont="1" applyFill="1" applyBorder="1" applyAlignment="1">
      <alignment horizontal="center" vertical="center"/>
    </xf>
    <xf numFmtId="0" fontId="4" fillId="5" borderId="38" xfId="0" applyFont="1" applyFill="1" applyBorder="1" applyAlignment="1">
      <alignment horizontal="center" vertical="center"/>
    </xf>
    <xf numFmtId="0" fontId="4" fillId="5" borderId="16" xfId="0" applyFont="1" applyFill="1" applyBorder="1" applyAlignment="1">
      <alignment horizontal="center" vertical="center" wrapText="1"/>
    </xf>
    <xf numFmtId="3" fontId="0" fillId="0" borderId="50" xfId="0" applyNumberFormat="1" applyBorder="1" applyAlignment="1">
      <alignment horizontal="center" vertical="center"/>
    </xf>
    <xf numFmtId="0" fontId="0" fillId="0" borderId="16" xfId="0" applyBorder="1" applyAlignment="1">
      <alignment horizontal="center" vertical="center"/>
    </xf>
    <xf numFmtId="0" fontId="0" fillId="0" borderId="49" xfId="0" applyBorder="1" applyAlignment="1">
      <alignment horizontal="center" vertical="center"/>
    </xf>
    <xf numFmtId="0" fontId="0" fillId="0" borderId="13" xfId="0" applyBorder="1" applyAlignment="1">
      <alignment horizontal="center"/>
    </xf>
    <xf numFmtId="0" fontId="4" fillId="5" borderId="2" xfId="0" applyFont="1" applyFill="1" applyBorder="1" applyAlignment="1">
      <alignment horizontal="center" vertical="center" wrapText="1"/>
    </xf>
    <xf numFmtId="0" fontId="4" fillId="5" borderId="17" xfId="0" applyFont="1" applyFill="1" applyBorder="1"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5" borderId="11" xfId="0" applyFont="1" applyFill="1" applyBorder="1" applyAlignment="1">
      <alignment horizontal="center"/>
    </xf>
    <xf numFmtId="0" fontId="4" fillId="5" borderId="5" xfId="0" applyFont="1" applyFill="1" applyBorder="1" applyAlignment="1">
      <alignment horizontal="center"/>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21" fillId="5" borderId="17" xfId="0" applyFont="1" applyFill="1" applyBorder="1" applyAlignment="1">
      <alignment horizontal="center" vertical="center"/>
    </xf>
    <xf numFmtId="0" fontId="21" fillId="5" borderId="25" xfId="0" applyFont="1" applyFill="1" applyBorder="1" applyAlignment="1">
      <alignment horizontal="center" vertical="center"/>
    </xf>
    <xf numFmtId="0" fontId="9" fillId="5" borderId="10" xfId="0" applyFont="1" applyFill="1" applyBorder="1" applyAlignment="1">
      <alignment horizontal="center" vertical="center" wrapText="1"/>
    </xf>
    <xf numFmtId="0" fontId="9" fillId="5" borderId="17" xfId="0" applyFont="1" applyFill="1" applyBorder="1" applyAlignment="1">
      <alignment horizontal="center" vertical="center" wrapText="1"/>
    </xf>
    <xf numFmtId="0" fontId="9" fillId="5" borderId="26" xfId="0" applyFont="1" applyFill="1" applyBorder="1" applyAlignment="1">
      <alignment horizontal="center" vertical="center" wrapText="1"/>
    </xf>
    <xf numFmtId="0" fontId="0" fillId="0" borderId="0" xfId="0" applyAlignment="1">
      <alignment horizontal="center" wrapText="1"/>
    </xf>
    <xf numFmtId="0" fontId="86" fillId="0" borderId="135" xfId="0" applyFont="1" applyBorder="1" applyAlignment="1">
      <alignment horizontal="center" vertical="center" wrapText="1"/>
    </xf>
    <xf numFmtId="0" fontId="4" fillId="5" borderId="30" xfId="0" applyFont="1" applyFill="1" applyBorder="1" applyAlignment="1">
      <alignment horizontal="center" vertical="center"/>
    </xf>
    <xf numFmtId="0" fontId="4" fillId="5" borderId="59" xfId="0" applyFont="1" applyFill="1" applyBorder="1" applyAlignment="1">
      <alignment horizontal="center" vertical="center"/>
    </xf>
    <xf numFmtId="0" fontId="4" fillId="5" borderId="17" xfId="0" applyFont="1" applyFill="1" applyBorder="1" applyAlignment="1">
      <alignment horizontal="center" vertical="center"/>
    </xf>
    <xf numFmtId="0" fontId="4" fillId="5" borderId="26" xfId="0" applyFont="1" applyFill="1" applyBorder="1" applyAlignment="1">
      <alignment horizontal="center" vertical="center"/>
    </xf>
    <xf numFmtId="0" fontId="4" fillId="5" borderId="29" xfId="0" applyFont="1" applyFill="1" applyBorder="1" applyAlignment="1">
      <alignment horizontal="center" vertical="center"/>
    </xf>
    <xf numFmtId="0" fontId="18" fillId="18" borderId="58" xfId="0" applyFont="1" applyFill="1" applyBorder="1" applyAlignment="1">
      <alignment horizontal="center"/>
    </xf>
    <xf numFmtId="0" fontId="9" fillId="5" borderId="2" xfId="0" applyFont="1" applyFill="1" applyBorder="1" applyAlignment="1">
      <alignment horizontal="center" vertical="center"/>
    </xf>
    <xf numFmtId="0" fontId="4" fillId="5" borderId="17" xfId="0" applyFont="1" applyFill="1" applyBorder="1" applyAlignment="1">
      <alignment horizontal="center"/>
    </xf>
    <xf numFmtId="0" fontId="4" fillId="5" borderId="20" xfId="0" applyFont="1" applyFill="1" applyBorder="1" applyAlignment="1">
      <alignment horizontal="center"/>
    </xf>
    <xf numFmtId="0" fontId="4" fillId="5" borderId="15" xfId="0" applyFont="1" applyFill="1" applyBorder="1" applyAlignment="1">
      <alignment horizontal="center"/>
    </xf>
    <xf numFmtId="0" fontId="0" fillId="0" borderId="16" xfId="0" applyBorder="1" applyAlignment="1">
      <alignment horizontal="center"/>
    </xf>
    <xf numFmtId="0" fontId="0" fillId="0" borderId="10" xfId="0" applyBorder="1" applyAlignment="1">
      <alignment horizontal="center"/>
    </xf>
    <xf numFmtId="0" fontId="0" fillId="0" borderId="1" xfId="0" applyBorder="1" applyAlignment="1">
      <alignment horizontal="center"/>
    </xf>
    <xf numFmtId="0" fontId="4" fillId="5" borderId="2" xfId="0" applyFont="1" applyFill="1" applyBorder="1" applyAlignment="1">
      <alignment horizontal="center" vertical="center"/>
    </xf>
    <xf numFmtId="0" fontId="4" fillId="5" borderId="16" xfId="0" applyFont="1" applyFill="1" applyBorder="1" applyAlignment="1">
      <alignment horizontal="center" vertical="center"/>
    </xf>
    <xf numFmtId="0" fontId="4" fillId="5" borderId="3" xfId="0" applyFont="1" applyFill="1" applyBorder="1" applyAlignment="1">
      <alignment horizontal="center" vertical="center"/>
    </xf>
    <xf numFmtId="0" fontId="0" fillId="0" borderId="42" xfId="0" applyBorder="1" applyAlignment="1">
      <alignment horizontal="center"/>
    </xf>
    <xf numFmtId="0" fontId="0" fillId="0" borderId="22"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0" fillId="0" borderId="1" xfId="0" applyBorder="1" applyAlignment="1">
      <alignment horizontal="left"/>
    </xf>
    <xf numFmtId="0" fontId="32" fillId="17" borderId="7" xfId="0" applyFont="1" applyFill="1" applyBorder="1" applyAlignment="1">
      <alignment horizontal="center" vertical="center"/>
    </xf>
    <xf numFmtId="0" fontId="32" fillId="17" borderId="44" xfId="0" applyFont="1" applyFill="1" applyBorder="1" applyAlignment="1">
      <alignment horizontal="center" vertical="center"/>
    </xf>
    <xf numFmtId="0" fontId="4" fillId="0" borderId="44" xfId="0" applyFont="1" applyBorder="1" applyAlignment="1">
      <alignment horizontal="center" vertical="center"/>
    </xf>
    <xf numFmtId="0" fontId="4" fillId="0" borderId="75" xfId="0" applyFont="1" applyBorder="1" applyAlignment="1">
      <alignment horizontal="center" vertical="center"/>
    </xf>
    <xf numFmtId="0" fontId="4" fillId="0" borderId="42" xfId="0" applyFont="1" applyBorder="1" applyAlignment="1">
      <alignment horizontal="center"/>
    </xf>
    <xf numFmtId="0" fontId="4" fillId="0" borderId="24" xfId="0" applyFont="1" applyBorder="1" applyAlignment="1">
      <alignment horizontal="center" vertical="center"/>
    </xf>
    <xf numFmtId="0" fontId="4" fillId="0" borderId="25" xfId="0" applyFont="1" applyBorder="1" applyAlignment="1">
      <alignment horizontal="center" vertical="center"/>
    </xf>
    <xf numFmtId="0" fontId="4" fillId="5" borderId="2" xfId="0" applyFont="1" applyFill="1" applyBorder="1" applyAlignment="1">
      <alignment horizontal="center"/>
    </xf>
    <xf numFmtId="0" fontId="4" fillId="5" borderId="3" xfId="0" applyFont="1" applyFill="1" applyBorder="1" applyAlignment="1">
      <alignment horizontal="center"/>
    </xf>
    <xf numFmtId="0" fontId="37" fillId="0" borderId="0" xfId="0" applyFont="1"/>
    <xf numFmtId="0" fontId="39" fillId="0" borderId="0" xfId="0" applyFont="1"/>
    <xf numFmtId="0" fontId="4" fillId="0" borderId="21" xfId="0" applyFont="1" applyBorder="1" applyAlignment="1">
      <alignment horizontal="center" vertical="center"/>
    </xf>
    <xf numFmtId="0" fontId="2" fillId="2" borderId="28"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38" xfId="0" applyFont="1" applyFill="1" applyBorder="1" applyAlignment="1">
      <alignment horizontal="center" vertical="center"/>
    </xf>
    <xf numFmtId="0" fontId="0" fillId="0" borderId="0" xfId="0" applyAlignment="1">
      <alignment horizontal="center"/>
    </xf>
    <xf numFmtId="0" fontId="2" fillId="2" borderId="39"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11" xfId="0" applyFont="1" applyFill="1" applyBorder="1" applyAlignment="1">
      <alignment horizontal="center" vertical="center"/>
    </xf>
    <xf numFmtId="0" fontId="0" fillId="5" borderId="23" xfId="0" applyFill="1" applyBorder="1" applyAlignment="1">
      <alignment horizontal="center"/>
    </xf>
    <xf numFmtId="0" fontId="0" fillId="5" borderId="18" xfId="0" applyFill="1" applyBorder="1" applyAlignment="1">
      <alignment horizontal="center"/>
    </xf>
    <xf numFmtId="0" fontId="5" fillId="5" borderId="23" xfId="0" applyFont="1" applyFill="1" applyBorder="1" applyAlignment="1">
      <alignment horizontal="center" vertical="center"/>
    </xf>
    <xf numFmtId="0" fontId="5" fillId="5" borderId="24" xfId="0" applyFont="1" applyFill="1" applyBorder="1" applyAlignment="1">
      <alignment horizontal="center" vertical="center"/>
    </xf>
    <xf numFmtId="0" fontId="5" fillId="5" borderId="18" xfId="0" applyFont="1" applyFill="1" applyBorder="1" applyAlignment="1">
      <alignment horizontal="center" vertical="center"/>
    </xf>
    <xf numFmtId="166" fontId="0" fillId="0" borderId="3" xfId="0" applyNumberFormat="1" applyBorder="1" applyAlignment="1">
      <alignment horizontal="center" vertical="center"/>
    </xf>
    <xf numFmtId="166" fontId="0" fillId="0" borderId="4" xfId="0" applyNumberFormat="1" applyBorder="1" applyAlignment="1">
      <alignment horizontal="center" vertical="center"/>
    </xf>
    <xf numFmtId="166" fontId="0" fillId="0" borderId="6" xfId="0" applyNumberFormat="1" applyBorder="1" applyAlignment="1">
      <alignment horizontal="center" vertical="center"/>
    </xf>
    <xf numFmtId="166" fontId="0" fillId="0" borderId="16" xfId="0" applyNumberFormat="1" applyBorder="1" applyAlignment="1">
      <alignment horizontal="center" vertical="center"/>
    </xf>
    <xf numFmtId="0" fontId="0" fillId="0" borderId="1" xfId="0" applyBorder="1" applyAlignment="1">
      <alignment horizontal="center" vertical="center"/>
    </xf>
    <xf numFmtId="0" fontId="0" fillId="0" borderId="5" xfId="0" applyBorder="1" applyAlignment="1">
      <alignment horizontal="center" vertical="center"/>
    </xf>
    <xf numFmtId="0" fontId="2" fillId="2" borderId="20" xfId="0" applyFont="1" applyFill="1" applyBorder="1" applyAlignment="1">
      <alignment horizontal="center" vertical="center"/>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4" fillId="5" borderId="18" xfId="0" applyFont="1" applyFill="1" applyBorder="1" applyAlignment="1">
      <alignment horizontal="center" vertical="center" wrapText="1"/>
    </xf>
    <xf numFmtId="0" fontId="0" fillId="0" borderId="4" xfId="0" applyBorder="1" applyAlignment="1">
      <alignment horizontal="center" vertical="center"/>
    </xf>
    <xf numFmtId="0" fontId="0" fillId="0" borderId="6" xfId="0" applyBorder="1" applyAlignment="1">
      <alignment horizontal="center" vertical="center"/>
    </xf>
    <xf numFmtId="0" fontId="1" fillId="5" borderId="17" xfId="0" applyFont="1" applyFill="1" applyBorder="1" applyAlignment="1">
      <alignment horizontal="center" vertical="center"/>
    </xf>
    <xf numFmtId="0" fontId="1" fillId="5" borderId="25" xfId="0" applyFont="1" applyFill="1" applyBorder="1" applyAlignment="1">
      <alignment horizontal="center" vertical="center"/>
    </xf>
    <xf numFmtId="168" fontId="0" fillId="0" borderId="31" xfId="2" applyNumberFormat="1" applyFont="1" applyBorder="1" applyAlignment="1">
      <alignment horizontal="center" vertical="center"/>
    </xf>
    <xf numFmtId="168" fontId="0" fillId="0" borderId="33" xfId="2" applyNumberFormat="1" applyFont="1" applyBorder="1" applyAlignment="1">
      <alignment horizontal="center" vertical="center"/>
    </xf>
    <xf numFmtId="168" fontId="0" fillId="0" borderId="34" xfId="2" applyNumberFormat="1" applyFont="1" applyBorder="1" applyAlignment="1">
      <alignment horizontal="center" vertical="center"/>
    </xf>
    <xf numFmtId="3" fontId="0" fillId="0" borderId="29" xfId="0" applyNumberFormat="1" applyBorder="1" applyAlignment="1">
      <alignment horizontal="center" vertical="center"/>
    </xf>
    <xf numFmtId="3" fontId="0" fillId="0" borderId="35" xfId="0" applyNumberFormat="1" applyBorder="1" applyAlignment="1">
      <alignment horizontal="center" vertical="center"/>
    </xf>
    <xf numFmtId="3" fontId="0" fillId="0" borderId="36" xfId="0" applyNumberFormat="1" applyBorder="1" applyAlignment="1">
      <alignment horizontal="center" vertical="center"/>
    </xf>
    <xf numFmtId="3" fontId="0" fillId="5" borderId="2" xfId="0" applyNumberFormat="1" applyFill="1" applyBorder="1" applyAlignment="1">
      <alignment horizontal="center"/>
    </xf>
    <xf numFmtId="3" fontId="0" fillId="5" borderId="16" xfId="0" applyNumberFormat="1" applyFill="1" applyBorder="1" applyAlignment="1">
      <alignment horizontal="center"/>
    </xf>
    <xf numFmtId="3" fontId="0" fillId="5" borderId="11" xfId="0" applyNumberFormat="1" applyFill="1" applyBorder="1" applyAlignment="1">
      <alignment horizontal="center"/>
    </xf>
    <xf numFmtId="3" fontId="0" fillId="5" borderId="5" xfId="0" applyNumberFormat="1" applyFill="1" applyBorder="1" applyAlignment="1">
      <alignment horizontal="center"/>
    </xf>
    <xf numFmtId="3" fontId="0" fillId="0" borderId="3" xfId="0" applyNumberFormat="1" applyBorder="1" applyAlignment="1">
      <alignment horizontal="center" vertical="center"/>
    </xf>
    <xf numFmtId="3" fontId="0" fillId="0" borderId="4" xfId="0" applyNumberFormat="1" applyBorder="1" applyAlignment="1">
      <alignment horizontal="center" vertical="center"/>
    </xf>
    <xf numFmtId="3" fontId="0" fillId="0" borderId="6" xfId="0" applyNumberFormat="1" applyBorder="1" applyAlignment="1">
      <alignment horizontal="center" vertical="center"/>
    </xf>
    <xf numFmtId="3" fontId="0" fillId="0" borderId="16" xfId="0" applyNumberFormat="1" applyBorder="1" applyAlignment="1">
      <alignment horizontal="center" vertical="center"/>
    </xf>
    <xf numFmtId="0" fontId="53" fillId="4" borderId="23" xfId="0" applyFont="1" applyFill="1" applyBorder="1" applyAlignment="1">
      <alignment horizontal="center" vertical="center"/>
    </xf>
    <xf numFmtId="0" fontId="53" fillId="4" borderId="18" xfId="0" applyFont="1" applyFill="1" applyBorder="1" applyAlignment="1">
      <alignment horizontal="center" vertical="center"/>
    </xf>
    <xf numFmtId="0" fontId="8" fillId="0" borderId="0" xfId="0" applyFont="1" applyAlignment="1">
      <alignment horizontal="center" vertical="center"/>
    </xf>
    <xf numFmtId="3" fontId="0" fillId="0" borderId="0" xfId="0" applyNumberFormat="1" applyAlignment="1">
      <alignment horizontal="center" vertical="center"/>
    </xf>
    <xf numFmtId="0" fontId="10" fillId="0" borderId="53" xfId="4" applyBorder="1" applyAlignment="1">
      <alignment horizontal="left"/>
    </xf>
    <xf numFmtId="0" fontId="0" fillId="0" borderId="15" xfId="0" applyBorder="1" applyAlignment="1">
      <alignment horizontal="left"/>
    </xf>
    <xf numFmtId="0" fontId="0" fillId="0" borderId="27" xfId="0" applyBorder="1" applyAlignment="1">
      <alignment horizontal="left"/>
    </xf>
    <xf numFmtId="0" fontId="10" fillId="0" borderId="40" xfId="4" applyBorder="1" applyAlignment="1">
      <alignment horizontal="left"/>
    </xf>
    <xf numFmtId="0" fontId="10" fillId="0" borderId="1" xfId="4" applyBorder="1" applyAlignment="1">
      <alignment horizontal="left"/>
    </xf>
    <xf numFmtId="0" fontId="10" fillId="0" borderId="4" xfId="4" applyBorder="1" applyAlignment="1">
      <alignment horizontal="left"/>
    </xf>
    <xf numFmtId="0" fontId="10" fillId="0" borderId="62" xfId="4" applyBorder="1" applyAlignment="1">
      <alignment horizontal="left"/>
    </xf>
    <xf numFmtId="0" fontId="0" fillId="0" borderId="5" xfId="0" applyBorder="1" applyAlignment="1">
      <alignment horizontal="left"/>
    </xf>
    <xf numFmtId="0" fontId="0" fillId="0" borderId="6" xfId="0" applyBorder="1" applyAlignment="1">
      <alignment horizontal="left"/>
    </xf>
    <xf numFmtId="0" fontId="4" fillId="5" borderId="51" xfId="0" applyFont="1" applyFill="1" applyBorder="1" applyAlignment="1">
      <alignment horizontal="center"/>
    </xf>
    <xf numFmtId="0" fontId="4" fillId="5" borderId="25" xfId="0" applyFont="1" applyFill="1" applyBorder="1" applyAlignment="1">
      <alignment horizontal="center"/>
    </xf>
    <xf numFmtId="0" fontId="4" fillId="5" borderId="26" xfId="0" applyFont="1" applyFill="1" applyBorder="1" applyAlignment="1">
      <alignment horizontal="center"/>
    </xf>
    <xf numFmtId="0" fontId="0" fillId="5" borderId="2" xfId="0" applyFill="1" applyBorder="1" applyAlignment="1">
      <alignment horizontal="left"/>
    </xf>
    <xf numFmtId="0" fontId="0" fillId="5" borderId="16" xfId="0" applyFill="1" applyBorder="1" applyAlignment="1">
      <alignment horizontal="left"/>
    </xf>
    <xf numFmtId="0" fontId="0" fillId="5" borderId="10" xfId="0" applyFill="1" applyBorder="1" applyAlignment="1">
      <alignment horizontal="left"/>
    </xf>
    <xf numFmtId="0" fontId="0" fillId="5" borderId="1" xfId="0" applyFill="1" applyBorder="1" applyAlignment="1">
      <alignment horizontal="left"/>
    </xf>
    <xf numFmtId="0" fontId="0" fillId="5" borderId="11" xfId="0" applyFill="1" applyBorder="1" applyAlignment="1">
      <alignment horizontal="left"/>
    </xf>
    <xf numFmtId="0" fontId="0" fillId="5" borderId="5" xfId="0" applyFill="1" applyBorder="1" applyAlignment="1">
      <alignment horizontal="left"/>
    </xf>
    <xf numFmtId="0" fontId="0" fillId="5" borderId="17" xfId="0" applyFill="1" applyBorder="1" applyAlignment="1">
      <alignment horizontal="center"/>
    </xf>
    <xf numFmtId="0" fontId="0" fillId="5" borderId="25" xfId="0" applyFill="1" applyBorder="1" applyAlignment="1">
      <alignment horizontal="center"/>
    </xf>
    <xf numFmtId="0" fontId="18" fillId="5" borderId="17" xfId="0" applyFont="1" applyFill="1" applyBorder="1" applyAlignment="1">
      <alignment horizontal="center"/>
    </xf>
    <xf numFmtId="0" fontId="18" fillId="5" borderId="25" xfId="0" applyFont="1" applyFill="1" applyBorder="1" applyAlignment="1">
      <alignment horizontal="center"/>
    </xf>
    <xf numFmtId="0" fontId="18" fillId="5" borderId="26" xfId="0" applyFont="1" applyFill="1" applyBorder="1" applyAlignment="1">
      <alignment horizontal="center"/>
    </xf>
    <xf numFmtId="0" fontId="18" fillId="5" borderId="28" xfId="0" applyFont="1" applyFill="1" applyBorder="1" applyAlignment="1">
      <alignment horizontal="center"/>
    </xf>
    <xf numFmtId="0" fontId="18" fillId="5" borderId="29" xfId="0" applyFont="1" applyFill="1" applyBorder="1" applyAlignment="1">
      <alignment horizontal="center"/>
    </xf>
    <xf numFmtId="0" fontId="18" fillId="5" borderId="23" xfId="0" applyFont="1" applyFill="1" applyBorder="1" applyAlignment="1">
      <alignment horizontal="center"/>
    </xf>
    <xf numFmtId="0" fontId="18" fillId="5" borderId="24" xfId="0" applyFont="1" applyFill="1" applyBorder="1" applyAlignment="1">
      <alignment horizontal="center"/>
    </xf>
    <xf numFmtId="0" fontId="18" fillId="5" borderId="18" xfId="0" applyFont="1" applyFill="1" applyBorder="1" applyAlignment="1">
      <alignment horizontal="center"/>
    </xf>
    <xf numFmtId="0" fontId="18" fillId="5" borderId="10" xfId="0" applyFont="1" applyFill="1" applyBorder="1" applyAlignment="1">
      <alignment horizontal="center"/>
    </xf>
    <xf numFmtId="0" fontId="18" fillId="5" borderId="1" xfId="0" applyFont="1" applyFill="1" applyBorder="1" applyAlignment="1">
      <alignment horizontal="center"/>
    </xf>
    <xf numFmtId="0" fontId="18" fillId="5" borderId="11" xfId="0" applyFont="1" applyFill="1" applyBorder="1" applyAlignment="1">
      <alignment horizontal="center"/>
    </xf>
    <xf numFmtId="0" fontId="18" fillId="5" borderId="5" xfId="0" applyFont="1" applyFill="1" applyBorder="1" applyAlignment="1">
      <alignment horizontal="center"/>
    </xf>
    <xf numFmtId="0" fontId="18" fillId="5" borderId="2" xfId="0" applyFont="1" applyFill="1" applyBorder="1" applyAlignment="1">
      <alignment horizontal="center"/>
    </xf>
    <xf numFmtId="0" fontId="18" fillId="5" borderId="16" xfId="0" applyFont="1" applyFill="1" applyBorder="1" applyAlignment="1">
      <alignment horizontal="center"/>
    </xf>
    <xf numFmtId="0" fontId="4" fillId="5" borderId="28" xfId="0" applyFont="1" applyFill="1" applyBorder="1" applyAlignment="1">
      <alignment horizontal="center" vertical="center"/>
    </xf>
    <xf numFmtId="0" fontId="4" fillId="5" borderId="38" xfId="0" applyFont="1" applyFill="1" applyBorder="1" applyAlignment="1">
      <alignment horizontal="center" vertical="center"/>
    </xf>
    <xf numFmtId="0" fontId="4" fillId="5" borderId="16" xfId="0" applyFont="1" applyFill="1" applyBorder="1" applyAlignment="1">
      <alignment horizontal="center" vertical="center" wrapText="1"/>
    </xf>
    <xf numFmtId="0" fontId="4" fillId="5" borderId="5" xfId="0" applyFont="1" applyFill="1" applyBorder="1" applyAlignment="1">
      <alignment horizontal="center" vertical="center" wrapText="1"/>
    </xf>
    <xf numFmtId="0" fontId="4" fillId="85" borderId="29" xfId="0" applyFont="1" applyFill="1" applyBorder="1" applyAlignment="1">
      <alignment horizontal="center" vertical="center" wrapText="1"/>
    </xf>
    <xf numFmtId="0" fontId="4" fillId="85" borderId="36" xfId="0" applyFont="1" applyFill="1" applyBorder="1" applyAlignment="1">
      <alignment horizontal="center" vertical="center" wrapText="1"/>
    </xf>
    <xf numFmtId="0" fontId="4" fillId="85" borderId="30" xfId="0" applyFont="1" applyFill="1" applyBorder="1" applyAlignment="1">
      <alignment horizontal="center" vertical="center" wrapText="1"/>
    </xf>
    <xf numFmtId="0" fontId="4" fillId="85" borderId="59" xfId="0" applyFont="1" applyFill="1" applyBorder="1" applyAlignment="1">
      <alignment horizontal="center" vertical="center" wrapText="1"/>
    </xf>
    <xf numFmtId="0" fontId="5" fillId="5" borderId="0" xfId="0" applyFont="1" applyFill="1" applyAlignment="1">
      <alignment horizontal="left" vertical="center" wrapText="1"/>
    </xf>
    <xf numFmtId="0" fontId="4" fillId="5" borderId="23" xfId="0" applyFont="1" applyFill="1" applyBorder="1" applyAlignment="1">
      <alignment horizontal="center"/>
    </xf>
    <xf numFmtId="0" fontId="4" fillId="5" borderId="24" xfId="0" applyFont="1" applyFill="1" applyBorder="1" applyAlignment="1">
      <alignment horizontal="center"/>
    </xf>
    <xf numFmtId="0" fontId="4" fillId="5" borderId="18" xfId="0" applyFont="1" applyFill="1" applyBorder="1" applyAlignment="1">
      <alignment horizontal="center"/>
    </xf>
    <xf numFmtId="0" fontId="21" fillId="5" borderId="23" xfId="0" applyFont="1" applyFill="1" applyBorder="1" applyAlignment="1">
      <alignment horizontal="center"/>
    </xf>
    <xf numFmtId="0" fontId="21" fillId="5" borderId="24" xfId="0" applyFont="1" applyFill="1" applyBorder="1" applyAlignment="1">
      <alignment horizontal="center"/>
    </xf>
    <xf numFmtId="0" fontId="21" fillId="5" borderId="18" xfId="0" applyFont="1" applyFill="1" applyBorder="1" applyAlignment="1">
      <alignment horizontal="center"/>
    </xf>
    <xf numFmtId="0" fontId="9" fillId="0" borderId="83" xfId="0" applyFont="1" applyBorder="1" applyAlignment="1">
      <alignment vertical="center" wrapText="1"/>
    </xf>
    <xf numFmtId="0" fontId="9" fillId="0" borderId="72" xfId="0" applyFont="1" applyBorder="1" applyAlignment="1">
      <alignment vertical="center" wrapText="1"/>
    </xf>
    <xf numFmtId="0" fontId="0" fillId="0" borderId="3" xfId="0" applyBorder="1" applyAlignment="1">
      <alignment horizontal="center" vertical="center"/>
    </xf>
    <xf numFmtId="0" fontId="9" fillId="0" borderId="2"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0" fillId="0" borderId="27" xfId="0" applyBorder="1" applyAlignment="1">
      <alignment horizontal="center" vertical="center"/>
    </xf>
    <xf numFmtId="0" fontId="4" fillId="5" borderId="25" xfId="0" applyFont="1" applyFill="1" applyBorder="1" applyAlignment="1">
      <alignment horizontal="center" vertical="center"/>
    </xf>
    <xf numFmtId="0" fontId="5" fillId="5" borderId="25" xfId="0" applyFont="1" applyFill="1" applyBorder="1" applyAlignment="1">
      <alignment horizontal="center" vertical="center"/>
    </xf>
    <xf numFmtId="0" fontId="4" fillId="5" borderId="7" xfId="0" applyFont="1" applyFill="1" applyBorder="1" applyAlignment="1">
      <alignment horizontal="center" vertical="center" wrapText="1"/>
    </xf>
    <xf numFmtId="0" fontId="4" fillId="5" borderId="8" xfId="0" applyFont="1" applyFill="1" applyBorder="1" applyAlignment="1">
      <alignment horizontal="center" vertical="center" wrapText="1"/>
    </xf>
    <xf numFmtId="0" fontId="4" fillId="5" borderId="9" xfId="0" applyFont="1" applyFill="1" applyBorder="1" applyAlignment="1">
      <alignment horizontal="center" vertical="center" wrapText="1"/>
    </xf>
    <xf numFmtId="0" fontId="4" fillId="5" borderId="31"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22" xfId="0" applyFont="1" applyFill="1" applyBorder="1" applyAlignment="1">
      <alignment horizontal="center" vertical="center" wrapText="1"/>
    </xf>
    <xf numFmtId="0" fontId="4" fillId="5" borderId="17" xfId="0" applyFont="1" applyFill="1" applyBorder="1"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4" fillId="5" borderId="11"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5" borderId="39" xfId="0" applyFont="1" applyFill="1" applyBorder="1" applyAlignment="1">
      <alignment horizontal="center" vertical="center" wrapText="1"/>
    </xf>
    <xf numFmtId="0" fontId="4" fillId="5" borderId="37" xfId="0" applyFont="1" applyFill="1" applyBorder="1" applyAlignment="1">
      <alignment horizontal="center" vertical="center" wrapText="1"/>
    </xf>
    <xf numFmtId="0" fontId="4" fillId="5" borderId="20" xfId="0" applyFont="1" applyFill="1" applyBorder="1" applyAlignment="1">
      <alignment horizontal="center" vertical="center" wrapText="1"/>
    </xf>
    <xf numFmtId="0" fontId="4" fillId="5" borderId="58" xfId="0" applyFont="1" applyFill="1" applyBorder="1" applyAlignment="1">
      <alignment horizontal="center"/>
    </xf>
    <xf numFmtId="0" fontId="4" fillId="5" borderId="60" xfId="0" applyFont="1" applyFill="1" applyBorder="1" applyAlignment="1">
      <alignment horizontal="center"/>
    </xf>
    <xf numFmtId="0" fontId="4" fillId="5" borderId="61" xfId="0" applyFont="1" applyFill="1" applyBorder="1" applyAlignment="1">
      <alignment horizontal="center"/>
    </xf>
    <xf numFmtId="0" fontId="4" fillId="5" borderId="50" xfId="0" applyFont="1" applyFill="1" applyBorder="1" applyAlignment="1">
      <alignment horizontal="center" vertical="center" wrapText="1"/>
    </xf>
    <xf numFmtId="0" fontId="4" fillId="5" borderId="27" xfId="0" applyFont="1" applyFill="1" applyBorder="1" applyAlignment="1">
      <alignment horizontal="center" vertical="center" wrapText="1"/>
    </xf>
    <xf numFmtId="0" fontId="4" fillId="5" borderId="49"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12" xfId="0" applyFont="1" applyFill="1" applyBorder="1" applyAlignment="1">
      <alignment horizontal="center" vertical="center"/>
    </xf>
    <xf numFmtId="0" fontId="4" fillId="5" borderId="76" xfId="0" applyFont="1" applyFill="1" applyBorder="1" applyAlignment="1">
      <alignment horizontal="center" vertical="center"/>
    </xf>
    <xf numFmtId="0" fontId="4" fillId="5" borderId="41" xfId="0" applyFont="1" applyFill="1" applyBorder="1" applyAlignment="1">
      <alignment horizontal="center" vertical="center"/>
    </xf>
    <xf numFmtId="0" fontId="0" fillId="0" borderId="13" xfId="0" applyBorder="1" applyAlignment="1">
      <alignment horizontal="center"/>
    </xf>
    <xf numFmtId="0" fontId="0" fillId="0" borderId="77" xfId="0" applyBorder="1" applyAlignment="1">
      <alignment horizontal="center"/>
    </xf>
    <xf numFmtId="0" fontId="0" fillId="0" borderId="69" xfId="0" applyBorder="1" applyAlignment="1">
      <alignment horizontal="center"/>
    </xf>
    <xf numFmtId="0" fontId="4" fillId="5" borderId="58" xfId="0" applyFont="1" applyFill="1" applyBorder="1" applyAlignment="1">
      <alignment horizontal="center" vertical="center"/>
    </xf>
    <xf numFmtId="0" fontId="4" fillId="5" borderId="60" xfId="0" applyFont="1" applyFill="1" applyBorder="1" applyAlignment="1">
      <alignment horizontal="center" vertical="center"/>
    </xf>
    <xf numFmtId="0" fontId="4" fillId="5" borderId="61" xfId="0" applyFont="1" applyFill="1" applyBorder="1" applyAlignment="1">
      <alignment horizontal="center" vertical="center"/>
    </xf>
    <xf numFmtId="0" fontId="4" fillId="5" borderId="12" xfId="0" applyFont="1" applyFill="1" applyBorder="1" applyAlignment="1">
      <alignment horizontal="center"/>
    </xf>
    <xf numFmtId="0" fontId="4" fillId="5" borderId="76" xfId="0" applyFont="1" applyFill="1" applyBorder="1" applyAlignment="1">
      <alignment horizontal="center"/>
    </xf>
    <xf numFmtId="0" fontId="4" fillId="5" borderId="41" xfId="0" applyFont="1" applyFill="1" applyBorder="1" applyAlignment="1">
      <alignment horizontal="center"/>
    </xf>
    <xf numFmtId="0" fontId="4" fillId="5" borderId="125" xfId="0" applyFont="1" applyFill="1" applyBorder="1" applyAlignment="1">
      <alignment horizontal="center" vertical="center" wrapText="1"/>
    </xf>
    <xf numFmtId="0" fontId="4" fillId="5" borderId="124" xfId="0" applyFont="1" applyFill="1" applyBorder="1" applyAlignment="1">
      <alignment horizontal="center" vertical="center" wrapText="1"/>
    </xf>
    <xf numFmtId="0" fontId="0" fillId="0" borderId="2" xfId="0" applyBorder="1" applyAlignment="1">
      <alignment horizontal="center" vertical="center"/>
    </xf>
    <xf numFmtId="0" fontId="0" fillId="0" borderId="11" xfId="0" applyBorder="1" applyAlignment="1">
      <alignment horizontal="center" vertical="center"/>
    </xf>
    <xf numFmtId="0" fontId="0" fillId="0" borderId="16" xfId="0" applyBorder="1" applyAlignment="1">
      <alignment horizontal="left" vertical="center"/>
    </xf>
    <xf numFmtId="0" fontId="0" fillId="0" borderId="5" xfId="0" applyBorder="1" applyAlignment="1">
      <alignment horizontal="left" vertical="center"/>
    </xf>
    <xf numFmtId="0" fontId="0" fillId="0" borderId="16" xfId="0" applyBorder="1" applyAlignment="1">
      <alignment horizontal="center" vertical="center"/>
    </xf>
    <xf numFmtId="0" fontId="0" fillId="0" borderId="10" xfId="0" applyBorder="1" applyAlignment="1">
      <alignment horizontal="center" vertical="center"/>
    </xf>
    <xf numFmtId="0" fontId="0" fillId="0" borderId="39" xfId="0" applyBorder="1" applyAlignment="1">
      <alignment horizontal="center" vertical="center"/>
    </xf>
    <xf numFmtId="0" fontId="0" fillId="0" borderId="1" xfId="0" applyBorder="1" applyAlignment="1">
      <alignment horizontal="left" vertical="center"/>
    </xf>
    <xf numFmtId="0" fontId="0" fillId="0" borderId="49" xfId="0" applyBorder="1" applyAlignment="1">
      <alignment horizontal="left" vertical="center"/>
    </xf>
    <xf numFmtId="0" fontId="0" fillId="0" borderId="49" xfId="0" applyBorder="1" applyAlignment="1">
      <alignment horizontal="center" vertical="center"/>
    </xf>
    <xf numFmtId="3" fontId="0" fillId="0" borderId="50" xfId="0" applyNumberFormat="1" applyBorder="1" applyAlignment="1">
      <alignment horizontal="center" vertical="center"/>
    </xf>
    <xf numFmtId="0" fontId="4" fillId="5" borderId="10" xfId="0" applyFont="1" applyFill="1" applyBorder="1" applyAlignment="1">
      <alignment horizontal="center"/>
    </xf>
    <xf numFmtId="0" fontId="4" fillId="5" borderId="1" xfId="0" applyFont="1" applyFill="1" applyBorder="1" applyAlignment="1">
      <alignment horizontal="center"/>
    </xf>
    <xf numFmtId="0" fontId="4" fillId="5" borderId="11" xfId="0" applyFont="1" applyFill="1" applyBorder="1" applyAlignment="1">
      <alignment horizontal="center"/>
    </xf>
    <xf numFmtId="0" fontId="4" fillId="5" borderId="5" xfId="0" applyFont="1" applyFill="1" applyBorder="1" applyAlignment="1">
      <alignment horizontal="center"/>
    </xf>
    <xf numFmtId="0" fontId="78" fillId="5" borderId="2" xfId="0" applyFont="1" applyFill="1" applyBorder="1" applyAlignment="1">
      <alignment horizontal="center" vertical="center" wrapText="1"/>
    </xf>
    <xf numFmtId="0" fontId="78" fillId="5" borderId="16" xfId="0" applyFont="1" applyFill="1" applyBorder="1" applyAlignment="1">
      <alignment horizontal="center" vertical="center" wrapText="1"/>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4" fillId="5" borderId="18" xfId="0" applyFont="1" applyFill="1" applyBorder="1" applyAlignment="1">
      <alignment horizontal="center" vertical="center"/>
    </xf>
    <xf numFmtId="0" fontId="4" fillId="5" borderId="65" xfId="0" applyFont="1" applyFill="1" applyBorder="1" applyAlignment="1">
      <alignment horizontal="right"/>
    </xf>
    <xf numFmtId="0" fontId="4" fillId="5" borderId="77" xfId="0" applyFont="1" applyFill="1" applyBorder="1" applyAlignment="1">
      <alignment horizontal="right"/>
    </xf>
    <xf numFmtId="0" fontId="4" fillId="5" borderId="62" xfId="0" applyFont="1" applyFill="1" applyBorder="1" applyAlignment="1">
      <alignment horizontal="right"/>
    </xf>
    <xf numFmtId="0" fontId="9" fillId="5" borderId="17" xfId="0" applyFont="1" applyFill="1" applyBorder="1" applyAlignment="1">
      <alignment horizontal="center" vertical="center"/>
    </xf>
    <xf numFmtId="0" fontId="9" fillId="5" borderId="25" xfId="0" applyFont="1" applyFill="1" applyBorder="1" applyAlignment="1">
      <alignment horizontal="center" vertical="center"/>
    </xf>
    <xf numFmtId="0" fontId="21" fillId="5" borderId="17" xfId="0" applyFont="1" applyFill="1" applyBorder="1" applyAlignment="1">
      <alignment horizontal="center" vertical="center"/>
    </xf>
    <xf numFmtId="0" fontId="21" fillId="5" borderId="25" xfId="0" applyFont="1" applyFill="1" applyBorder="1" applyAlignment="1">
      <alignment horizontal="center" vertical="center"/>
    </xf>
    <xf numFmtId="0" fontId="9" fillId="5" borderId="17" xfId="0" applyFont="1" applyFill="1" applyBorder="1" applyAlignment="1">
      <alignment horizontal="right" vertical="center" wrapText="1"/>
    </xf>
    <xf numFmtId="0" fontId="9" fillId="5" borderId="25" xfId="0" applyFont="1" applyFill="1" applyBorder="1" applyAlignment="1">
      <alignment horizontal="right" vertical="center" wrapText="1"/>
    </xf>
    <xf numFmtId="0" fontId="9" fillId="5" borderId="10" xfId="0" applyFont="1" applyFill="1" applyBorder="1" applyAlignment="1">
      <alignment horizontal="center" vertical="center" wrapText="1"/>
    </xf>
    <xf numFmtId="0" fontId="9" fillId="5" borderId="1" xfId="0" applyFont="1" applyFill="1" applyBorder="1" applyAlignment="1">
      <alignment horizontal="center" vertical="center" wrapText="1"/>
    </xf>
    <xf numFmtId="0" fontId="9" fillId="5" borderId="58" xfId="0" applyFont="1" applyFill="1" applyBorder="1" applyAlignment="1">
      <alignment horizontal="center" vertical="center"/>
    </xf>
    <xf numFmtId="0" fontId="9" fillId="5" borderId="60" xfId="0" applyFont="1" applyFill="1" applyBorder="1" applyAlignment="1">
      <alignment horizontal="center" vertical="center"/>
    </xf>
    <xf numFmtId="0" fontId="9" fillId="5" borderId="61" xfId="0" applyFont="1" applyFill="1" applyBorder="1" applyAlignment="1">
      <alignment horizontal="center" vertical="center"/>
    </xf>
    <xf numFmtId="0" fontId="4" fillId="5" borderId="28" xfId="0" applyFont="1" applyFill="1" applyBorder="1" applyAlignment="1">
      <alignment horizontal="center"/>
    </xf>
    <xf numFmtId="0" fontId="4" fillId="5" borderId="29" xfId="0" applyFont="1" applyFill="1" applyBorder="1" applyAlignment="1">
      <alignment horizontal="center"/>
    </xf>
    <xf numFmtId="0" fontId="39" fillId="5" borderId="23" xfId="0" applyFont="1" applyFill="1" applyBorder="1" applyAlignment="1">
      <alignment horizontal="center" vertical="center"/>
    </xf>
    <xf numFmtId="0" fontId="39" fillId="5" borderId="24" xfId="0" applyFont="1" applyFill="1" applyBorder="1" applyAlignment="1">
      <alignment horizontal="center" vertical="center"/>
    </xf>
    <xf numFmtId="0" fontId="39" fillId="5" borderId="18" xfId="0" applyFont="1" applyFill="1" applyBorder="1" applyAlignment="1">
      <alignment horizontal="center" vertical="center"/>
    </xf>
    <xf numFmtId="0" fontId="39" fillId="3" borderId="70" xfId="0" applyFont="1" applyFill="1" applyBorder="1" applyAlignment="1">
      <alignment horizontal="center" vertical="center"/>
    </xf>
    <xf numFmtId="0" fontId="39" fillId="3" borderId="71" xfId="0" applyFont="1" applyFill="1" applyBorder="1" applyAlignment="1">
      <alignment horizontal="center" vertical="center"/>
    </xf>
    <xf numFmtId="0" fontId="39" fillId="3" borderId="71" xfId="0" applyFont="1" applyFill="1" applyBorder="1" applyAlignment="1">
      <alignment horizontal="center" vertical="center" wrapText="1"/>
    </xf>
    <xf numFmtId="0" fontId="39" fillId="3" borderId="81" xfId="0" applyFont="1" applyFill="1" applyBorder="1" applyAlignment="1">
      <alignment horizontal="center" vertical="center"/>
    </xf>
    <xf numFmtId="0" fontId="9" fillId="5" borderId="17" xfId="0" applyFont="1" applyFill="1" applyBorder="1" applyAlignment="1">
      <alignment horizontal="center" vertical="center" wrapText="1"/>
    </xf>
    <xf numFmtId="0" fontId="9" fillId="5" borderId="26" xfId="0" applyFont="1" applyFill="1" applyBorder="1" applyAlignment="1">
      <alignment horizontal="center" vertical="center" wrapText="1"/>
    </xf>
    <xf numFmtId="0" fontId="9" fillId="5" borderId="51" xfId="0" applyFont="1" applyFill="1" applyBorder="1" applyAlignment="1">
      <alignment horizontal="center" vertical="center" wrapText="1"/>
    </xf>
    <xf numFmtId="0" fontId="5" fillId="5" borderId="23" xfId="0" applyFont="1" applyFill="1" applyBorder="1" applyAlignment="1">
      <alignment horizontal="center" vertical="center" wrapText="1"/>
    </xf>
    <xf numFmtId="0" fontId="5" fillId="5" borderId="24" xfId="0" applyFont="1" applyFill="1" applyBorder="1" applyAlignment="1">
      <alignment horizontal="center" vertical="center" wrapText="1"/>
    </xf>
    <xf numFmtId="0" fontId="5" fillId="5" borderId="18" xfId="0" applyFont="1" applyFill="1" applyBorder="1" applyAlignment="1">
      <alignment horizontal="center" vertical="center" wrapText="1"/>
    </xf>
    <xf numFmtId="0" fontId="21" fillId="17" borderId="58" xfId="0" applyFont="1" applyFill="1" applyBorder="1" applyAlignment="1">
      <alignment horizontal="center" vertical="center" wrapText="1"/>
    </xf>
    <xf numFmtId="0" fontId="21" fillId="17" borderId="60" xfId="0" applyFont="1" applyFill="1" applyBorder="1" applyAlignment="1">
      <alignment horizontal="center" vertical="center" wrapText="1"/>
    </xf>
    <xf numFmtId="0" fontId="9" fillId="5" borderId="2" xfId="0" applyFont="1" applyFill="1" applyBorder="1" applyAlignment="1">
      <alignment horizontal="center" vertical="center" wrapText="1"/>
    </xf>
    <xf numFmtId="0" fontId="9" fillId="5" borderId="3" xfId="0" applyFont="1" applyFill="1" applyBorder="1" applyAlignment="1">
      <alignment horizontal="center" vertical="center" wrapText="1"/>
    </xf>
    <xf numFmtId="0" fontId="9" fillId="5" borderId="53" xfId="0" applyFont="1" applyFill="1" applyBorder="1" applyAlignment="1">
      <alignment horizontal="center" vertical="center" wrapText="1"/>
    </xf>
    <xf numFmtId="0" fontId="9" fillId="5" borderId="27" xfId="0" applyFont="1" applyFill="1"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center" wrapText="1"/>
    </xf>
    <xf numFmtId="0" fontId="86" fillId="0" borderId="136" xfId="0" applyFont="1" applyBorder="1" applyAlignment="1">
      <alignment horizontal="center" vertical="center" wrapText="1"/>
    </xf>
    <xf numFmtId="0" fontId="86" fillId="0" borderId="138" xfId="0" applyFont="1" applyBorder="1" applyAlignment="1">
      <alignment horizontal="center" vertical="center" wrapText="1"/>
    </xf>
    <xf numFmtId="0" fontId="86" fillId="0" borderId="137" xfId="0" applyFont="1" applyBorder="1" applyAlignment="1">
      <alignment horizontal="center" vertical="center" wrapText="1"/>
    </xf>
    <xf numFmtId="0" fontId="85" fillId="0" borderId="126" xfId="0" applyFont="1" applyBorder="1" applyAlignment="1">
      <alignment horizontal="center" vertical="center" wrapText="1"/>
    </xf>
    <xf numFmtId="0" fontId="85" fillId="0" borderId="127" xfId="0" applyFont="1" applyBorder="1" applyAlignment="1">
      <alignment horizontal="center" vertical="center" wrapText="1"/>
    </xf>
    <xf numFmtId="0" fontId="85" fillId="0" borderId="128" xfId="0" applyFont="1" applyBorder="1" applyAlignment="1">
      <alignment horizontal="center" vertical="center" wrapText="1"/>
    </xf>
    <xf numFmtId="0" fontId="85" fillId="0" borderId="23" xfId="0" applyFont="1" applyBorder="1" applyAlignment="1">
      <alignment vertical="center" wrapText="1"/>
    </xf>
    <xf numFmtId="0" fontId="85" fillId="0" borderId="24" xfId="0" applyFont="1" applyBorder="1" applyAlignment="1">
      <alignment vertical="center" wrapText="1"/>
    </xf>
    <xf numFmtId="0" fontId="85" fillId="0" borderId="18" xfId="0" applyFont="1" applyBorder="1" applyAlignment="1">
      <alignment vertical="center" wrapText="1"/>
    </xf>
    <xf numFmtId="0" fontId="86" fillId="0" borderId="129" xfId="0" applyFont="1" applyBorder="1" applyAlignment="1">
      <alignment horizontal="center" vertical="center" wrapText="1"/>
    </xf>
    <xf numFmtId="0" fontId="86" fillId="0" borderId="130" xfId="0" applyFont="1" applyBorder="1" applyAlignment="1">
      <alignment horizontal="center" vertical="center" wrapText="1"/>
    </xf>
    <xf numFmtId="0" fontId="86" fillId="0" borderId="131" xfId="0" applyFont="1" applyBorder="1" applyAlignment="1">
      <alignment horizontal="center" vertical="center" wrapText="1"/>
    </xf>
    <xf numFmtId="0" fontId="85" fillId="0" borderId="129" xfId="0" applyFont="1" applyBorder="1" applyAlignment="1">
      <alignment vertical="center" wrapText="1"/>
    </xf>
    <xf numFmtId="0" fontId="85" fillId="0" borderId="130" xfId="0" applyFont="1" applyBorder="1" applyAlignment="1">
      <alignment vertical="center" wrapText="1"/>
    </xf>
    <xf numFmtId="0" fontId="85" fillId="0" borderId="131" xfId="0" applyFont="1" applyBorder="1" applyAlignment="1">
      <alignment vertical="center" wrapText="1"/>
    </xf>
    <xf numFmtId="0" fontId="85" fillId="0" borderId="133" xfId="0" applyFont="1" applyBorder="1" applyAlignment="1">
      <alignment vertical="center" wrapText="1"/>
    </xf>
    <xf numFmtId="0" fontId="85" fillId="0" borderId="134" xfId="0" applyFont="1" applyBorder="1" applyAlignment="1">
      <alignment vertical="center" wrapText="1"/>
    </xf>
    <xf numFmtId="0" fontId="85" fillId="0" borderId="135" xfId="0" applyFont="1" applyBorder="1" applyAlignment="1">
      <alignment vertical="center" wrapText="1"/>
    </xf>
    <xf numFmtId="0" fontId="85" fillId="0" borderId="132" xfId="0" applyFont="1" applyBorder="1" applyAlignment="1">
      <alignment vertical="center" wrapText="1"/>
    </xf>
    <xf numFmtId="0" fontId="85" fillId="0" borderId="0" xfId="0" applyFont="1" applyAlignment="1">
      <alignment vertical="center" wrapText="1"/>
    </xf>
    <xf numFmtId="0" fontId="85" fillId="0" borderId="44" xfId="0" applyFont="1" applyBorder="1" applyAlignment="1">
      <alignment vertical="center" wrapText="1"/>
    </xf>
    <xf numFmtId="0" fontId="85" fillId="0" borderId="45" xfId="0" applyFont="1" applyBorder="1" applyAlignment="1">
      <alignment vertical="center" wrapText="1"/>
    </xf>
    <xf numFmtId="0" fontId="86" fillId="0" borderId="133" xfId="0" applyFont="1" applyBorder="1" applyAlignment="1">
      <alignment horizontal="center" vertical="center" wrapText="1"/>
    </xf>
    <xf numFmtId="0" fontId="86" fillId="0" borderId="134" xfId="0" applyFont="1" applyBorder="1" applyAlignment="1">
      <alignment horizontal="center" vertical="center" wrapText="1"/>
    </xf>
    <xf numFmtId="0" fontId="86" fillId="0" borderId="135" xfId="0" applyFont="1" applyBorder="1" applyAlignment="1">
      <alignment horizontal="center" vertical="center" wrapText="1"/>
    </xf>
    <xf numFmtId="0" fontId="85" fillId="0" borderId="42" xfId="0" applyFont="1" applyBorder="1" applyAlignment="1">
      <alignment vertical="center" wrapText="1"/>
    </xf>
    <xf numFmtId="0" fontId="85" fillId="0" borderId="22" xfId="0" applyFont="1" applyBorder="1" applyAlignment="1">
      <alignment vertical="center" wrapText="1"/>
    </xf>
    <xf numFmtId="0" fontId="86" fillId="0" borderId="23" xfId="0" applyFont="1" applyBorder="1" applyAlignment="1">
      <alignment horizontal="left" vertical="center" wrapText="1"/>
    </xf>
    <xf numFmtId="0" fontId="86" fillId="0" borderId="24" xfId="0" applyFont="1" applyBorder="1" applyAlignment="1">
      <alignment horizontal="left" vertical="center" wrapText="1"/>
    </xf>
    <xf numFmtId="0" fontId="86" fillId="0" borderId="18" xfId="0" applyFont="1" applyBorder="1" applyAlignment="1">
      <alignment horizontal="left" vertical="center" wrapText="1"/>
    </xf>
    <xf numFmtId="0" fontId="86" fillId="0" borderId="23" xfId="0" applyFont="1" applyBorder="1" applyAlignment="1">
      <alignment vertical="center" wrapText="1"/>
    </xf>
    <xf numFmtId="0" fontId="86" fillId="0" borderId="24" xfId="0" applyFont="1" applyBorder="1" applyAlignment="1">
      <alignment vertical="center" wrapText="1"/>
    </xf>
    <xf numFmtId="0" fontId="86" fillId="0" borderId="18" xfId="0" applyFont="1" applyBorder="1" applyAlignment="1">
      <alignment vertical="center" wrapText="1"/>
    </xf>
    <xf numFmtId="0" fontId="86" fillId="0" borderId="127" xfId="0" applyFont="1" applyBorder="1" applyAlignment="1">
      <alignment horizontal="center" vertical="center" wrapText="1"/>
    </xf>
    <xf numFmtId="0" fontId="4" fillId="0" borderId="23" xfId="0" applyFont="1" applyBorder="1" applyAlignment="1">
      <alignment horizontal="center"/>
    </xf>
    <xf numFmtId="0" fontId="4" fillId="0" borderId="51" xfId="0" applyFont="1" applyBorder="1" applyAlignment="1">
      <alignment horizontal="center"/>
    </xf>
    <xf numFmtId="0" fontId="4" fillId="5" borderId="30" xfId="0" applyFont="1" applyFill="1" applyBorder="1" applyAlignment="1">
      <alignment horizontal="center" vertical="center"/>
    </xf>
    <xf numFmtId="0" fontId="4" fillId="5" borderId="59" xfId="0" applyFont="1" applyFill="1" applyBorder="1" applyAlignment="1">
      <alignment horizontal="center" vertical="center"/>
    </xf>
    <xf numFmtId="0" fontId="4" fillId="5" borderId="94" xfId="0" applyFont="1" applyFill="1" applyBorder="1" applyAlignment="1">
      <alignment horizontal="center" vertical="center" wrapText="1"/>
    </xf>
    <xf numFmtId="0" fontId="4" fillId="5" borderId="29" xfId="0" applyFont="1" applyFill="1" applyBorder="1" applyAlignment="1">
      <alignment horizontal="center" vertical="center"/>
    </xf>
    <xf numFmtId="0" fontId="25" fillId="0" borderId="16" xfId="0" applyFont="1" applyBorder="1" applyAlignment="1">
      <alignment horizontal="center"/>
    </xf>
    <xf numFmtId="0" fontId="27" fillId="0" borderId="1" xfId="0" applyFont="1" applyBorder="1" applyAlignment="1">
      <alignment horizontal="center"/>
    </xf>
    <xf numFmtId="0" fontId="25" fillId="0" borderId="1" xfId="0" applyFont="1" applyBorder="1" applyAlignment="1">
      <alignment horizontal="center"/>
    </xf>
    <xf numFmtId="0" fontId="25" fillId="0" borderId="5" xfId="0" applyFont="1" applyBorder="1" applyAlignment="1">
      <alignment horizontal="center"/>
    </xf>
    <xf numFmtId="0" fontId="4" fillId="5" borderId="17" xfId="0" applyFont="1" applyFill="1" applyBorder="1" applyAlignment="1">
      <alignment horizontal="center" vertical="center"/>
    </xf>
    <xf numFmtId="0" fontId="4" fillId="5" borderId="26" xfId="0" applyFont="1" applyFill="1" applyBorder="1" applyAlignment="1">
      <alignment horizontal="center" vertical="center"/>
    </xf>
    <xf numFmtId="0" fontId="18" fillId="3" borderId="0" xfId="0" applyFont="1" applyFill="1" applyAlignment="1">
      <alignment horizontal="center"/>
    </xf>
    <xf numFmtId="0" fontId="29" fillId="5" borderId="7" xfId="0" applyFont="1" applyFill="1" applyBorder="1" applyAlignment="1">
      <alignment horizontal="center" vertical="center"/>
    </xf>
    <xf numFmtId="0" fontId="29" fillId="5" borderId="8" xfId="0" applyFont="1" applyFill="1" applyBorder="1" applyAlignment="1">
      <alignment horizontal="center" vertical="center"/>
    </xf>
    <xf numFmtId="0" fontId="29" fillId="5" borderId="9" xfId="0" applyFont="1" applyFill="1" applyBorder="1" applyAlignment="1">
      <alignment horizontal="center" vertical="center"/>
    </xf>
    <xf numFmtId="0" fontId="19" fillId="0" borderId="13" xfId="0" applyFont="1" applyBorder="1" applyAlignment="1">
      <alignment horizontal="left"/>
    </xf>
    <xf numFmtId="0" fontId="19" fillId="0" borderId="77" xfId="0" applyFont="1" applyBorder="1" applyAlignment="1">
      <alignment horizontal="left"/>
    </xf>
    <xf numFmtId="0" fontId="19" fillId="0" borderId="69" xfId="0" applyFont="1" applyBorder="1" applyAlignment="1">
      <alignment horizontal="left"/>
    </xf>
    <xf numFmtId="0" fontId="31" fillId="0" borderId="1" xfId="4" applyFont="1" applyBorder="1" applyAlignment="1">
      <alignment horizontal="left"/>
    </xf>
    <xf numFmtId="0" fontId="31" fillId="0" borderId="4" xfId="4" applyFont="1" applyBorder="1" applyAlignment="1">
      <alignment horizontal="left"/>
    </xf>
    <xf numFmtId="0" fontId="4" fillId="16" borderId="46" xfId="0" applyFont="1" applyFill="1" applyBorder="1" applyAlignment="1">
      <alignment horizontal="center" vertical="center"/>
    </xf>
    <xf numFmtId="0" fontId="4" fillId="16" borderId="47" xfId="0" applyFont="1" applyFill="1" applyBorder="1" applyAlignment="1">
      <alignment horizontal="center" vertical="center"/>
    </xf>
    <xf numFmtId="0" fontId="4" fillId="16" borderId="48" xfId="0" applyFont="1" applyFill="1" applyBorder="1" applyAlignment="1">
      <alignment horizontal="center" vertical="center"/>
    </xf>
    <xf numFmtId="0" fontId="4" fillId="8" borderId="17" xfId="0" applyFont="1" applyFill="1" applyBorder="1" applyAlignment="1">
      <alignment horizontal="center" vertical="center"/>
    </xf>
    <xf numFmtId="0" fontId="4" fillId="8" borderId="25" xfId="0" applyFont="1" applyFill="1" applyBorder="1" applyAlignment="1">
      <alignment horizontal="center" vertical="center"/>
    </xf>
    <xf numFmtId="0" fontId="4" fillId="8" borderId="26" xfId="0" applyFont="1" applyFill="1" applyBorder="1" applyAlignment="1">
      <alignment horizontal="center" vertical="center"/>
    </xf>
    <xf numFmtId="0" fontId="4" fillId="14" borderId="17" xfId="0" applyFont="1" applyFill="1" applyBorder="1" applyAlignment="1">
      <alignment horizontal="center"/>
    </xf>
    <xf numFmtId="0" fontId="4" fillId="14" borderId="26" xfId="0" applyFont="1" applyFill="1" applyBorder="1" applyAlignment="1">
      <alignment horizontal="center"/>
    </xf>
    <xf numFmtId="0" fontId="0" fillId="0" borderId="37" xfId="0" applyBorder="1" applyAlignment="1">
      <alignment horizontal="center"/>
    </xf>
    <xf numFmtId="0" fontId="0" fillId="0" borderId="35" xfId="0" applyBorder="1" applyAlignment="1">
      <alignment horizontal="center"/>
    </xf>
    <xf numFmtId="0" fontId="0" fillId="0" borderId="52" xfId="0" applyBorder="1" applyAlignment="1">
      <alignment horizontal="center"/>
    </xf>
    <xf numFmtId="0" fontId="4" fillId="0" borderId="24" xfId="0" applyFont="1" applyBorder="1" applyAlignment="1">
      <alignment horizontal="center"/>
    </xf>
    <xf numFmtId="0" fontId="4" fillId="0" borderId="18" xfId="0" applyFont="1" applyBorder="1" applyAlignment="1">
      <alignment horizontal="center"/>
    </xf>
    <xf numFmtId="0" fontId="4" fillId="5" borderId="7" xfId="0" applyFont="1" applyFill="1" applyBorder="1" applyAlignment="1">
      <alignment horizontal="center" vertical="center"/>
    </xf>
    <xf numFmtId="0" fontId="4" fillId="5" borderId="8" xfId="0" applyFont="1" applyFill="1" applyBorder="1" applyAlignment="1">
      <alignment horizontal="center" vertical="center"/>
    </xf>
    <xf numFmtId="0" fontId="4" fillId="5" borderId="9" xfId="0" applyFont="1" applyFill="1" applyBorder="1" applyAlignment="1">
      <alignment horizontal="center" vertical="center"/>
    </xf>
    <xf numFmtId="0" fontId="0" fillId="0" borderId="7" xfId="0" applyBorder="1" applyAlignment="1">
      <alignment horizontal="left"/>
    </xf>
    <xf numFmtId="0" fontId="0" fillId="0" borderId="9" xfId="0" applyBorder="1" applyAlignment="1">
      <alignment horizontal="left"/>
    </xf>
    <xf numFmtId="0" fontId="0" fillId="0" borderId="42" xfId="0" applyBorder="1" applyAlignment="1">
      <alignment horizontal="left"/>
    </xf>
    <xf numFmtId="0" fontId="0" fillId="0" borderId="22" xfId="0" applyBorder="1" applyAlignment="1">
      <alignment horizontal="left"/>
    </xf>
    <xf numFmtId="0" fontId="4" fillId="8" borderId="23" xfId="0" applyFont="1" applyFill="1" applyBorder="1" applyAlignment="1">
      <alignment horizontal="center" vertical="center"/>
    </xf>
    <xf numFmtId="0" fontId="4" fillId="8" borderId="24" xfId="0" applyFont="1" applyFill="1" applyBorder="1" applyAlignment="1">
      <alignment horizontal="center" vertical="center"/>
    </xf>
    <xf numFmtId="0" fontId="4" fillId="8" borderId="18" xfId="0" applyFont="1" applyFill="1" applyBorder="1" applyAlignment="1">
      <alignment horizontal="center" vertical="center"/>
    </xf>
    <xf numFmtId="0" fontId="4" fillId="12" borderId="23" xfId="0" applyFont="1" applyFill="1" applyBorder="1" applyAlignment="1">
      <alignment horizontal="center" vertical="center"/>
    </xf>
    <xf numFmtId="0" fontId="4" fillId="12" borderId="18" xfId="0" applyFont="1" applyFill="1" applyBorder="1" applyAlignment="1">
      <alignment horizontal="center" vertical="center"/>
    </xf>
    <xf numFmtId="0" fontId="0" fillId="0" borderId="42" xfId="0" applyBorder="1" applyAlignment="1">
      <alignment horizontal="center" vertical="center"/>
    </xf>
    <xf numFmtId="0" fontId="0" fillId="0" borderId="43" xfId="0" applyBorder="1" applyAlignment="1">
      <alignment horizontal="center" vertical="center"/>
    </xf>
    <xf numFmtId="0" fontId="0" fillId="0" borderId="22" xfId="0" applyBorder="1" applyAlignment="1">
      <alignment horizontal="center" vertical="center"/>
    </xf>
    <xf numFmtId="0" fontId="4" fillId="8" borderId="7" xfId="0" applyFont="1" applyFill="1" applyBorder="1" applyAlignment="1">
      <alignment horizontal="center" vertical="center"/>
    </xf>
    <xf numFmtId="0" fontId="4" fillId="8" borderId="8" xfId="0" applyFont="1" applyFill="1" applyBorder="1" applyAlignment="1">
      <alignment horizontal="center" vertical="center"/>
    </xf>
    <xf numFmtId="0" fontId="4" fillId="8" borderId="9" xfId="0" applyFont="1" applyFill="1" applyBorder="1" applyAlignment="1">
      <alignment horizontal="center" vertical="center"/>
    </xf>
    <xf numFmtId="10" fontId="0" fillId="0" borderId="23" xfId="2" applyNumberFormat="1" applyFont="1" applyBorder="1" applyAlignment="1">
      <alignment horizontal="center"/>
    </xf>
    <xf numFmtId="10" fontId="0" fillId="0" borderId="18" xfId="2" applyNumberFormat="1" applyFont="1" applyBorder="1" applyAlignment="1">
      <alignment horizontal="center"/>
    </xf>
    <xf numFmtId="0" fontId="0" fillId="0" borderId="55" xfId="0" applyBorder="1" applyAlignment="1">
      <alignment horizontal="center" vertical="center"/>
    </xf>
    <xf numFmtId="0" fontId="0" fillId="0" borderId="56" xfId="0" applyBorder="1" applyAlignment="1">
      <alignment horizontal="center" vertical="center"/>
    </xf>
    <xf numFmtId="0" fontId="9" fillId="5" borderId="2" xfId="0" applyFont="1" applyFill="1" applyBorder="1" applyAlignment="1">
      <alignment horizontal="center" vertical="center"/>
    </xf>
    <xf numFmtId="0" fontId="9" fillId="5" borderId="11" xfId="0" applyFont="1" applyFill="1" applyBorder="1" applyAlignment="1">
      <alignment horizontal="center" vertical="center"/>
    </xf>
    <xf numFmtId="0" fontId="9" fillId="5" borderId="20" xfId="0" applyFont="1" applyFill="1" applyBorder="1" applyAlignment="1">
      <alignment horizontal="center" vertical="center"/>
    </xf>
    <xf numFmtId="0" fontId="18" fillId="18" borderId="58" xfId="0" applyFont="1" applyFill="1" applyBorder="1" applyAlignment="1">
      <alignment horizontal="center"/>
    </xf>
    <xf numFmtId="0" fontId="18" fillId="18" borderId="61" xfId="0" applyFont="1" applyFill="1" applyBorder="1" applyAlignment="1">
      <alignment horizontal="center"/>
    </xf>
    <xf numFmtId="0" fontId="18" fillId="18" borderId="23" xfId="0" applyFont="1" applyFill="1" applyBorder="1" applyAlignment="1">
      <alignment horizontal="center"/>
    </xf>
    <xf numFmtId="0" fontId="18" fillId="18" borderId="24" xfId="0" applyFont="1" applyFill="1" applyBorder="1" applyAlignment="1">
      <alignment horizontal="center"/>
    </xf>
    <xf numFmtId="0" fontId="18" fillId="18" borderId="18" xfId="0" applyFont="1" applyFill="1" applyBorder="1" applyAlignment="1">
      <alignment horizontal="center"/>
    </xf>
    <xf numFmtId="0" fontId="4" fillId="5" borderId="75" xfId="0" applyFont="1" applyFill="1" applyBorder="1" applyAlignment="1">
      <alignment horizontal="center" vertical="center" wrapText="1"/>
    </xf>
    <xf numFmtId="0" fontId="4" fillId="5" borderId="74"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17" xfId="0" applyFont="1" applyFill="1" applyBorder="1" applyAlignment="1">
      <alignment horizontal="center"/>
    </xf>
    <xf numFmtId="0" fontId="10" fillId="0" borderId="12" xfId="4" applyBorder="1" applyAlignment="1">
      <alignment horizontal="left"/>
    </xf>
    <xf numFmtId="0" fontId="0" fillId="0" borderId="76" xfId="0" applyBorder="1" applyAlignment="1">
      <alignment horizontal="left"/>
    </xf>
    <xf numFmtId="0" fontId="0" fillId="0" borderId="41" xfId="0" applyBorder="1" applyAlignment="1">
      <alignment horizontal="left"/>
    </xf>
    <xf numFmtId="0" fontId="0" fillId="0" borderId="12" xfId="0" applyBorder="1" applyAlignment="1">
      <alignment horizontal="left"/>
    </xf>
    <xf numFmtId="0" fontId="0" fillId="0" borderId="66" xfId="0" applyBorder="1" applyAlignment="1">
      <alignment horizontal="left"/>
    </xf>
    <xf numFmtId="0" fontId="0" fillId="0" borderId="32" xfId="0" applyBorder="1" applyAlignment="1">
      <alignment horizontal="left"/>
    </xf>
    <xf numFmtId="0" fontId="0" fillId="0" borderId="68" xfId="0" applyBorder="1" applyAlignment="1">
      <alignment horizontal="left"/>
    </xf>
    <xf numFmtId="0" fontId="4" fillId="5" borderId="42" xfId="0" applyFont="1" applyFill="1" applyBorder="1" applyAlignment="1">
      <alignment horizontal="center"/>
    </xf>
    <xf numFmtId="0" fontId="4" fillId="5" borderId="22" xfId="0" applyFont="1" applyFill="1" applyBorder="1" applyAlignment="1">
      <alignment horizontal="center"/>
    </xf>
    <xf numFmtId="0" fontId="4" fillId="5" borderId="2" xfId="0" applyFont="1" applyFill="1" applyBorder="1" applyAlignment="1">
      <alignment horizontal="center" vertical="center"/>
    </xf>
    <xf numFmtId="0" fontId="4" fillId="5" borderId="16" xfId="0" applyFont="1" applyFill="1" applyBorder="1" applyAlignment="1">
      <alignment horizontal="center" vertical="center"/>
    </xf>
    <xf numFmtId="0" fontId="4" fillId="5" borderId="3" xfId="0" applyFont="1" applyFill="1" applyBorder="1" applyAlignment="1">
      <alignment horizontal="center" vertical="center"/>
    </xf>
    <xf numFmtId="0" fontId="0" fillId="0" borderId="42" xfId="0" applyBorder="1" applyAlignment="1">
      <alignment horizontal="center"/>
    </xf>
    <xf numFmtId="0" fontId="0" fillId="0" borderId="43" xfId="0" applyBorder="1" applyAlignment="1">
      <alignment horizontal="center"/>
    </xf>
    <xf numFmtId="0" fontId="0" fillId="0" borderId="22" xfId="0" applyBorder="1" applyAlignment="1">
      <alignment horizontal="center"/>
    </xf>
    <xf numFmtId="0" fontId="0" fillId="0" borderId="1" xfId="0" applyBorder="1" applyAlignment="1">
      <alignment horizontal="left"/>
    </xf>
    <xf numFmtId="0" fontId="0" fillId="0" borderId="4" xfId="0" applyBorder="1" applyAlignment="1">
      <alignment horizontal="left"/>
    </xf>
    <xf numFmtId="0" fontId="4" fillId="5" borderId="20" xfId="0" applyFont="1" applyFill="1" applyBorder="1" applyAlignment="1">
      <alignment horizontal="center"/>
    </xf>
    <xf numFmtId="0" fontId="4" fillId="5" borderId="15" xfId="0" applyFont="1" applyFill="1" applyBorder="1" applyAlignment="1">
      <alignment horizontal="center"/>
    </xf>
    <xf numFmtId="0" fontId="4" fillId="5" borderId="94" xfId="0" applyFont="1" applyFill="1" applyBorder="1" applyAlignment="1">
      <alignment horizontal="center" vertical="center"/>
    </xf>
    <xf numFmtId="0" fontId="0" fillId="0" borderId="2" xfId="0" applyBorder="1" applyAlignment="1">
      <alignment horizontal="center"/>
    </xf>
    <xf numFmtId="0" fontId="0" fillId="0" borderId="16" xfId="0" applyBorder="1" applyAlignment="1">
      <alignment horizontal="center"/>
    </xf>
    <xf numFmtId="0" fontId="0" fillId="0" borderId="10" xfId="0" applyBorder="1" applyAlignment="1">
      <alignment horizontal="center"/>
    </xf>
    <xf numFmtId="0" fontId="0" fillId="0" borderId="1"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18" fillId="18" borderId="60" xfId="0" applyFont="1" applyFill="1" applyBorder="1" applyAlignment="1">
      <alignment horizontal="center"/>
    </xf>
    <xf numFmtId="0" fontId="84" fillId="5" borderId="2" xfId="0" applyFont="1" applyFill="1" applyBorder="1" applyAlignment="1">
      <alignment horizontal="center" vertical="center"/>
    </xf>
    <xf numFmtId="0" fontId="84" fillId="5" borderId="16" xfId="0" applyFont="1" applyFill="1" applyBorder="1" applyAlignment="1">
      <alignment horizontal="center" vertical="center"/>
    </xf>
    <xf numFmtId="0" fontId="84" fillId="5" borderId="3" xfId="0" applyFont="1" applyFill="1" applyBorder="1" applyAlignment="1">
      <alignment horizontal="center" vertical="center"/>
    </xf>
    <xf numFmtId="0" fontId="90" fillId="5" borderId="7" xfId="0" applyFont="1" applyFill="1" applyBorder="1" applyAlignment="1">
      <alignment horizontal="center" vertical="center" wrapText="1"/>
    </xf>
    <xf numFmtId="0" fontId="90" fillId="5" borderId="8" xfId="0" applyFont="1" applyFill="1" applyBorder="1" applyAlignment="1">
      <alignment horizontal="center" vertical="center" wrapText="1"/>
    </xf>
    <xf numFmtId="0" fontId="90" fillId="5" borderId="9" xfId="0" applyFont="1" applyFill="1" applyBorder="1" applyAlignment="1">
      <alignment horizontal="center" vertical="center" wrapText="1"/>
    </xf>
    <xf numFmtId="3" fontId="0" fillId="0" borderId="20" xfId="0" applyNumberFormat="1" applyBorder="1" applyAlignment="1">
      <alignment horizontal="center" vertical="center"/>
    </xf>
    <xf numFmtId="9" fontId="0" fillId="0" borderId="35" xfId="2" applyFont="1" applyBorder="1" applyAlignment="1">
      <alignment horizontal="center" vertical="center"/>
    </xf>
    <xf numFmtId="9" fontId="0" fillId="0" borderId="36" xfId="2" applyFont="1" applyBorder="1" applyAlignment="1">
      <alignment horizontal="center" vertical="center"/>
    </xf>
    <xf numFmtId="1" fontId="0" fillId="0" borderId="20" xfId="0" applyNumberFormat="1" applyBorder="1" applyAlignment="1">
      <alignment horizontal="center" vertical="center"/>
    </xf>
    <xf numFmtId="1" fontId="0" fillId="0" borderId="10" xfId="0" applyNumberFormat="1" applyBorder="1" applyAlignment="1">
      <alignment horizontal="center" vertical="center"/>
    </xf>
    <xf numFmtId="1" fontId="0" fillId="0" borderId="11" xfId="0" applyNumberFormat="1" applyBorder="1" applyAlignment="1">
      <alignment horizontal="center" vertical="center"/>
    </xf>
    <xf numFmtId="9" fontId="0" fillId="0" borderId="30" xfId="2" applyFont="1" applyBorder="1" applyAlignment="1">
      <alignment horizontal="center" vertical="center"/>
    </xf>
    <xf numFmtId="9" fontId="0" fillId="0" borderId="52" xfId="2" applyFont="1" applyBorder="1" applyAlignment="1">
      <alignment horizontal="center" vertical="center"/>
    </xf>
    <xf numFmtId="9" fontId="0" fillId="0" borderId="59" xfId="2" applyFont="1" applyBorder="1" applyAlignment="1">
      <alignment horizontal="center" vertical="center"/>
    </xf>
    <xf numFmtId="9" fontId="0" fillId="0" borderId="30" xfId="0" applyNumberFormat="1" applyBorder="1" applyAlignment="1">
      <alignment horizontal="center" vertical="center"/>
    </xf>
    <xf numFmtId="0" fontId="0" fillId="0" borderId="52" xfId="0" applyBorder="1" applyAlignment="1">
      <alignment horizontal="center" vertical="center"/>
    </xf>
    <xf numFmtId="0" fontId="0" fillId="0" borderId="59" xfId="0" applyBorder="1" applyAlignment="1">
      <alignment horizontal="center" vertical="center"/>
    </xf>
    <xf numFmtId="9" fontId="0" fillId="0" borderId="52" xfId="0" applyNumberFormat="1" applyBorder="1" applyAlignment="1">
      <alignment horizontal="center" vertical="center"/>
    </xf>
    <xf numFmtId="1" fontId="0" fillId="0" borderId="2" xfId="0" applyNumberFormat="1" applyBorder="1" applyAlignment="1">
      <alignment horizontal="center" vertical="center"/>
    </xf>
    <xf numFmtId="0" fontId="4" fillId="0" borderId="83" xfId="0" applyFont="1" applyBorder="1" applyAlignment="1">
      <alignment horizontal="center" vertical="center"/>
    </xf>
    <xf numFmtId="0" fontId="4" fillId="0" borderId="71" xfId="0" applyFont="1" applyBorder="1" applyAlignment="1">
      <alignment horizontal="center" vertical="center"/>
    </xf>
    <xf numFmtId="0" fontId="4" fillId="0" borderId="72" xfId="0" applyFont="1" applyBorder="1" applyAlignment="1">
      <alignment horizontal="center" vertical="center"/>
    </xf>
    <xf numFmtId="0" fontId="32" fillId="17" borderId="7" xfId="0" applyFont="1" applyFill="1" applyBorder="1" applyAlignment="1">
      <alignment horizontal="center" vertical="center"/>
    </xf>
    <xf numFmtId="0" fontId="32" fillId="17" borderId="44" xfId="0" applyFont="1" applyFill="1" applyBorder="1" applyAlignment="1">
      <alignment horizontal="center" vertical="center"/>
    </xf>
    <xf numFmtId="0" fontId="34" fillId="5" borderId="7" xfId="0" applyFont="1" applyFill="1" applyBorder="1" applyAlignment="1">
      <alignment horizontal="center" vertical="center"/>
    </xf>
    <xf numFmtId="0" fontId="34" fillId="5" borderId="8" xfId="0" applyFont="1" applyFill="1" applyBorder="1" applyAlignment="1">
      <alignment horizontal="center" vertical="center"/>
    </xf>
    <xf numFmtId="0" fontId="34" fillId="5" borderId="9" xfId="0" applyFont="1" applyFill="1" applyBorder="1" applyAlignment="1">
      <alignment horizontal="center" vertical="center"/>
    </xf>
    <xf numFmtId="0" fontId="34" fillId="5" borderId="42" xfId="0" applyFont="1" applyFill="1" applyBorder="1" applyAlignment="1">
      <alignment horizontal="center" vertical="center"/>
    </xf>
    <xf numFmtId="0" fontId="34" fillId="5" borderId="43" xfId="0" applyFont="1" applyFill="1" applyBorder="1" applyAlignment="1">
      <alignment horizontal="center" vertical="center"/>
    </xf>
    <xf numFmtId="0" fontId="34" fillId="5" borderId="22" xfId="0" applyFont="1" applyFill="1" applyBorder="1" applyAlignment="1">
      <alignment horizontal="center" vertical="center"/>
    </xf>
    <xf numFmtId="0" fontId="4" fillId="0" borderId="44" xfId="0" applyFont="1" applyBorder="1" applyAlignment="1">
      <alignment horizontal="center" vertical="center"/>
    </xf>
    <xf numFmtId="0" fontId="4" fillId="0" borderId="75" xfId="0" applyFont="1" applyBorder="1" applyAlignment="1">
      <alignment horizontal="center" vertical="center"/>
    </xf>
    <xf numFmtId="0" fontId="4" fillId="0" borderId="74" xfId="0" applyFont="1" applyBorder="1" applyAlignment="1">
      <alignment horizontal="center" vertical="center"/>
    </xf>
    <xf numFmtId="0" fontId="4" fillId="0" borderId="42" xfId="0" applyFont="1" applyBorder="1" applyAlignment="1">
      <alignment horizontal="center"/>
    </xf>
    <xf numFmtId="0" fontId="4" fillId="0" borderId="43" xfId="0" applyFont="1" applyBorder="1" applyAlignment="1">
      <alignment horizontal="center"/>
    </xf>
    <xf numFmtId="0" fontId="4" fillId="0" borderId="22" xfId="0" applyFont="1" applyBorder="1" applyAlignment="1">
      <alignment horizont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18" xfId="0" applyFont="1" applyBorder="1" applyAlignment="1">
      <alignment horizontal="center" vertical="center"/>
    </xf>
    <xf numFmtId="0" fontId="4" fillId="0" borderId="43" xfId="0" applyFont="1" applyBorder="1" applyAlignment="1">
      <alignment horizontal="center" vertical="center"/>
    </xf>
    <xf numFmtId="0" fontId="4" fillId="0" borderId="22" xfId="0" applyFont="1" applyBorder="1" applyAlignment="1">
      <alignment horizontal="center" vertical="center"/>
    </xf>
    <xf numFmtId="0" fontId="4" fillId="0" borderId="17" xfId="0" applyFont="1" applyBorder="1" applyAlignment="1">
      <alignment horizontal="center" vertical="center"/>
    </xf>
    <xf numFmtId="0" fontId="4" fillId="0" borderId="25" xfId="0" applyFont="1" applyBorder="1" applyAlignment="1">
      <alignment horizontal="center" vertical="center"/>
    </xf>
    <xf numFmtId="0" fontId="4" fillId="0" borderId="26" xfId="0" applyFont="1" applyBorder="1" applyAlignment="1">
      <alignment horizontal="center" vertical="center"/>
    </xf>
    <xf numFmtId="0" fontId="0" fillId="0" borderId="23" xfId="0" applyBorder="1" applyAlignment="1">
      <alignment horizontal="center"/>
    </xf>
    <xf numFmtId="0" fontId="0" fillId="0" borderId="24" xfId="0" applyBorder="1" applyAlignment="1">
      <alignment horizontal="center"/>
    </xf>
    <xf numFmtId="0" fontId="0" fillId="0" borderId="18" xfId="0" applyBorder="1" applyAlignment="1">
      <alignment horizontal="center"/>
    </xf>
    <xf numFmtId="0" fontId="35" fillId="5" borderId="7" xfId="0" applyFont="1" applyFill="1" applyBorder="1" applyAlignment="1">
      <alignment horizontal="center" vertical="center"/>
    </xf>
    <xf numFmtId="0" fontId="35" fillId="5" borderId="8" xfId="0" applyFont="1" applyFill="1" applyBorder="1" applyAlignment="1">
      <alignment horizontal="center" vertical="center"/>
    </xf>
    <xf numFmtId="0" fontId="35" fillId="5" borderId="9" xfId="0" applyFont="1" applyFill="1" applyBorder="1" applyAlignment="1">
      <alignment horizontal="center" vertical="center"/>
    </xf>
    <xf numFmtId="0" fontId="35" fillId="5" borderId="42" xfId="0" applyFont="1" applyFill="1" applyBorder="1" applyAlignment="1">
      <alignment horizontal="center" vertical="center"/>
    </xf>
    <xf numFmtId="0" fontId="35" fillId="5" borderId="43" xfId="0" applyFont="1" applyFill="1" applyBorder="1" applyAlignment="1">
      <alignment horizontal="center" vertical="center"/>
    </xf>
    <xf numFmtId="0" fontId="35" fillId="5" borderId="22" xfId="0" applyFont="1" applyFill="1" applyBorder="1" applyAlignment="1">
      <alignment horizontal="center" vertical="center"/>
    </xf>
    <xf numFmtId="0" fontId="4" fillId="0" borderId="2" xfId="0" applyFont="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167" fontId="0" fillId="0" borderId="3" xfId="0" applyNumberFormat="1" applyBorder="1" applyAlignment="1">
      <alignment horizontal="center" vertical="center"/>
    </xf>
    <xf numFmtId="0" fontId="35" fillId="5" borderId="23" xfId="0" applyFont="1" applyFill="1" applyBorder="1" applyAlignment="1">
      <alignment horizontal="center"/>
    </xf>
    <xf numFmtId="0" fontId="35" fillId="5" borderId="24" xfId="0" applyFont="1" applyFill="1" applyBorder="1" applyAlignment="1">
      <alignment horizontal="center"/>
    </xf>
    <xf numFmtId="167" fontId="0" fillId="0" borderId="30" xfId="0" applyNumberFormat="1" applyBorder="1" applyAlignment="1">
      <alignment horizontal="center" vertical="center"/>
    </xf>
    <xf numFmtId="0" fontId="4" fillId="24" borderId="12" xfId="0" applyFont="1" applyFill="1" applyBorder="1" applyAlignment="1">
      <alignment horizontal="center" vertical="center"/>
    </xf>
    <xf numFmtId="0" fontId="4" fillId="24" borderId="40" xfId="0" applyFont="1" applyFill="1" applyBorder="1" applyAlignment="1">
      <alignment horizontal="center" vertical="center"/>
    </xf>
    <xf numFmtId="0" fontId="35" fillId="5" borderId="18" xfId="0" applyFont="1" applyFill="1" applyBorder="1" applyAlignment="1">
      <alignment horizontal="center"/>
    </xf>
    <xf numFmtId="172" fontId="3" fillId="0" borderId="3" xfId="0" applyNumberFormat="1" applyFont="1" applyBorder="1" applyAlignment="1">
      <alignment horizontal="center" vertical="center"/>
    </xf>
    <xf numFmtId="0" fontId="3" fillId="0" borderId="4" xfId="0" applyFont="1" applyBorder="1" applyAlignment="1">
      <alignment horizontal="center" vertical="center"/>
    </xf>
    <xf numFmtId="0" fontId="3" fillId="0" borderId="6" xfId="0" applyFont="1" applyBorder="1" applyAlignment="1">
      <alignment horizontal="center" vertical="center"/>
    </xf>
    <xf numFmtId="0" fontId="4" fillId="5" borderId="2" xfId="0" applyFont="1" applyFill="1" applyBorder="1" applyAlignment="1">
      <alignment horizontal="center"/>
    </xf>
    <xf numFmtId="0" fontId="4" fillId="5" borderId="3" xfId="0" applyFont="1" applyFill="1" applyBorder="1" applyAlignment="1">
      <alignment horizontal="center"/>
    </xf>
    <xf numFmtId="1" fontId="39" fillId="0" borderId="5" xfId="0" applyNumberFormat="1" applyFont="1" applyBorder="1" applyAlignment="1">
      <alignment horizontal="center" vertical="center"/>
    </xf>
    <xf numFmtId="1" fontId="39" fillId="0" borderId="6" xfId="0" applyNumberFormat="1" applyFont="1" applyBorder="1" applyAlignment="1">
      <alignment horizontal="center" vertical="center"/>
    </xf>
    <xf numFmtId="1" fontId="39" fillId="0" borderId="1" xfId="0" applyNumberFormat="1" applyFont="1" applyBorder="1" applyAlignment="1">
      <alignment horizontal="center" vertical="center"/>
    </xf>
    <xf numFmtId="1" fontId="39" fillId="0" borderId="4" xfId="0" applyNumberFormat="1" applyFont="1" applyBorder="1" applyAlignment="1">
      <alignment horizontal="center" vertical="center"/>
    </xf>
    <xf numFmtId="1" fontId="39" fillId="0" borderId="62" xfId="0" applyNumberFormat="1" applyFont="1" applyBorder="1" applyAlignment="1">
      <alignment horizontal="center" vertical="center"/>
    </xf>
    <xf numFmtId="1" fontId="39" fillId="0" borderId="16" xfId="0" applyNumberFormat="1" applyFont="1" applyBorder="1" applyAlignment="1">
      <alignment horizontal="center" vertical="center"/>
    </xf>
    <xf numFmtId="1" fontId="39" fillId="0" borderId="3" xfId="0" applyNumberFormat="1" applyFont="1" applyBorder="1" applyAlignment="1">
      <alignment horizontal="center" vertical="center"/>
    </xf>
    <xf numFmtId="1" fontId="39" fillId="0" borderId="40" xfId="0" applyNumberFormat="1" applyFont="1" applyBorder="1" applyAlignment="1">
      <alignment horizontal="center" vertical="center"/>
    </xf>
    <xf numFmtId="1" fontId="39" fillId="0" borderId="67" xfId="0" applyNumberFormat="1" applyFont="1" applyBorder="1" applyAlignment="1">
      <alignment horizontal="center" vertical="center"/>
    </xf>
    <xf numFmtId="0" fontId="39" fillId="29" borderId="28" xfId="0" applyFont="1" applyFill="1" applyBorder="1" applyAlignment="1">
      <alignment horizontal="center" vertical="center" textRotation="90"/>
    </xf>
    <xf numFmtId="0" fontId="39" fillId="29" borderId="37" xfId="0" applyFont="1" applyFill="1" applyBorder="1" applyAlignment="1">
      <alignment horizontal="center" vertical="center" textRotation="90"/>
    </xf>
    <xf numFmtId="0" fontId="39" fillId="29" borderId="38" xfId="0" applyFont="1" applyFill="1" applyBorder="1" applyAlignment="1">
      <alignment horizontal="center" vertical="center" textRotation="90"/>
    </xf>
    <xf numFmtId="0" fontId="39" fillId="6" borderId="50" xfId="0" applyFont="1" applyFill="1" applyBorder="1" applyAlignment="1">
      <alignment horizontal="center" vertical="center" wrapText="1"/>
    </xf>
    <xf numFmtId="0" fontId="39" fillId="6" borderId="59" xfId="0" applyFont="1" applyFill="1" applyBorder="1" applyAlignment="1">
      <alignment horizontal="center" vertical="center" wrapText="1"/>
    </xf>
    <xf numFmtId="0" fontId="39" fillId="6" borderId="52" xfId="0" applyFont="1" applyFill="1" applyBorder="1" applyAlignment="1">
      <alignment horizontal="center" vertical="center" wrapText="1"/>
    </xf>
    <xf numFmtId="0" fontId="39" fillId="6" borderId="27" xfId="0" applyFont="1" applyFill="1" applyBorder="1" applyAlignment="1">
      <alignment horizontal="center" vertical="center" wrapText="1"/>
    </xf>
    <xf numFmtId="0" fontId="39" fillId="29" borderId="44" xfId="0" applyFont="1" applyFill="1" applyBorder="1" applyAlignment="1">
      <alignment horizontal="center" vertical="center" textRotation="90" wrapText="1"/>
    </xf>
    <xf numFmtId="0" fontId="39" fillId="29" borderId="42" xfId="0" applyFont="1" applyFill="1" applyBorder="1" applyAlignment="1">
      <alignment horizontal="center" vertical="center" textRotation="90" wrapText="1"/>
    </xf>
    <xf numFmtId="0" fontId="38" fillId="30" borderId="17" xfId="0" applyFont="1" applyFill="1" applyBorder="1" applyAlignment="1">
      <alignment horizontal="center" vertical="center" wrapText="1"/>
    </xf>
    <xf numFmtId="0" fontId="38" fillId="30" borderId="25" xfId="0" applyFont="1" applyFill="1" applyBorder="1" applyAlignment="1">
      <alignment horizontal="center" vertical="center" wrapText="1"/>
    </xf>
    <xf numFmtId="0" fontId="38" fillId="30" borderId="26" xfId="0" applyFont="1" applyFill="1" applyBorder="1" applyAlignment="1">
      <alignment horizontal="center" vertical="center" wrapText="1"/>
    </xf>
    <xf numFmtId="0" fontId="39" fillId="6" borderId="28" xfId="0" applyFont="1" applyFill="1" applyBorder="1" applyAlignment="1">
      <alignment horizontal="center" vertical="center" wrapText="1"/>
    </xf>
    <xf numFmtId="0" fontId="39" fillId="6" borderId="30" xfId="0" applyFont="1" applyFill="1" applyBorder="1" applyAlignment="1">
      <alignment horizontal="center" vertical="center" wrapText="1"/>
    </xf>
    <xf numFmtId="0" fontId="18" fillId="6" borderId="17" xfId="0" applyFont="1" applyFill="1" applyBorder="1" applyAlignment="1">
      <alignment horizontal="center" vertical="center" textRotation="90" wrapText="1"/>
    </xf>
    <xf numFmtId="0" fontId="18" fillId="6" borderId="25" xfId="0" applyFont="1" applyFill="1" applyBorder="1" applyAlignment="1">
      <alignment horizontal="center" vertical="center" textRotation="90" wrapText="1"/>
    </xf>
    <xf numFmtId="0" fontId="18" fillId="6" borderId="26" xfId="0" applyFont="1" applyFill="1" applyBorder="1" applyAlignment="1">
      <alignment horizontal="center" vertical="center" textRotation="90" wrapText="1"/>
    </xf>
    <xf numFmtId="1" fontId="39" fillId="0" borderId="28" xfId="0" applyNumberFormat="1" applyFont="1" applyBorder="1" applyAlignment="1">
      <alignment horizontal="center" vertical="center"/>
    </xf>
    <xf numFmtId="1" fontId="39" fillId="0" borderId="20" xfId="0" applyNumberFormat="1" applyFont="1" applyBorder="1" applyAlignment="1">
      <alignment horizontal="center" vertical="center"/>
    </xf>
    <xf numFmtId="1" fontId="39" fillId="0" borderId="29" xfId="0" applyNumberFormat="1" applyFont="1" applyBorder="1" applyAlignment="1">
      <alignment horizontal="center" vertical="center"/>
    </xf>
    <xf numFmtId="1" fontId="39" fillId="0" borderId="15" xfId="0" applyNumberFormat="1" applyFont="1" applyBorder="1" applyAlignment="1">
      <alignment horizontal="center" vertical="center"/>
    </xf>
    <xf numFmtId="1" fontId="39" fillId="0" borderId="30" xfId="0" applyNumberFormat="1" applyFont="1" applyBorder="1" applyAlignment="1">
      <alignment horizontal="center" vertical="center"/>
    </xf>
    <xf numFmtId="1" fontId="39" fillId="0" borderId="27" xfId="0" applyNumberFormat="1" applyFont="1" applyBorder="1" applyAlignment="1">
      <alignment horizontal="center" vertical="center"/>
    </xf>
    <xf numFmtId="1" fontId="39" fillId="0" borderId="39" xfId="0" applyNumberFormat="1" applyFont="1" applyBorder="1" applyAlignment="1">
      <alignment horizontal="center" vertical="center"/>
    </xf>
    <xf numFmtId="1" fontId="39" fillId="0" borderId="49" xfId="0" applyNumberFormat="1" applyFont="1" applyBorder="1" applyAlignment="1">
      <alignment horizontal="center" vertical="center"/>
    </xf>
    <xf numFmtId="1" fontId="39" fillId="0" borderId="50" xfId="0" applyNumberFormat="1" applyFont="1" applyBorder="1" applyAlignment="1">
      <alignment horizontal="center" vertical="center"/>
    </xf>
    <xf numFmtId="0" fontId="39" fillId="29" borderId="28" xfId="0" applyFont="1" applyFill="1" applyBorder="1" applyAlignment="1">
      <alignment horizontal="center" vertical="center" textRotation="90" wrapText="1"/>
    </xf>
    <xf numFmtId="0" fontId="39" fillId="29" borderId="37" xfId="0" applyFont="1" applyFill="1" applyBorder="1" applyAlignment="1">
      <alignment horizontal="center" vertical="center" textRotation="90" wrapText="1"/>
    </xf>
    <xf numFmtId="0" fontId="39" fillId="29" borderId="38" xfId="0" applyFont="1" applyFill="1" applyBorder="1" applyAlignment="1">
      <alignment horizontal="center" vertical="center" textRotation="90" wrapText="1"/>
    </xf>
    <xf numFmtId="1" fontId="39" fillId="0" borderId="10" xfId="0" applyNumberFormat="1" applyFont="1" applyBorder="1" applyAlignment="1">
      <alignment horizontal="center" vertical="center"/>
    </xf>
    <xf numFmtId="1" fontId="39" fillId="0" borderId="11" xfId="0" applyNumberFormat="1" applyFont="1" applyBorder="1" applyAlignment="1">
      <alignment horizontal="center" vertical="center"/>
    </xf>
    <xf numFmtId="0" fontId="18" fillId="5" borderId="142" xfId="0" applyFont="1" applyFill="1" applyBorder="1" applyAlignment="1">
      <alignment horizontal="center" vertical="center" wrapText="1"/>
    </xf>
    <xf numFmtId="0" fontId="18" fillId="5" borderId="60" xfId="0" applyFont="1" applyFill="1" applyBorder="1" applyAlignment="1">
      <alignment horizontal="center" vertical="center" wrapText="1"/>
    </xf>
    <xf numFmtId="0" fontId="18" fillId="5" borderId="61" xfId="0" applyFont="1" applyFill="1" applyBorder="1" applyAlignment="1">
      <alignment horizontal="center" vertical="center" wrapText="1"/>
    </xf>
    <xf numFmtId="0" fontId="4" fillId="0" borderId="21" xfId="0" applyFont="1" applyBorder="1" applyAlignment="1">
      <alignment horizontal="center" vertical="center"/>
    </xf>
    <xf numFmtId="0" fontId="37" fillId="0" borderId="0" xfId="0" applyFont="1" applyAlignment="1"/>
    <xf numFmtId="0" fontId="39" fillId="0" borderId="0" xfId="0" applyFont="1" applyAlignment="1"/>
  </cellXfs>
  <cellStyles count="104">
    <cellStyle name="20% - Énfasis1 2" xfId="9" xr:uid="{00000000-0005-0000-0000-000000000000}"/>
    <cellStyle name="20% - Énfasis1 3" xfId="8" xr:uid="{00000000-0005-0000-0000-000001000000}"/>
    <cellStyle name="20% - Énfasis2 2" xfId="11" xr:uid="{00000000-0005-0000-0000-000002000000}"/>
    <cellStyle name="20% - Énfasis2 3" xfId="10" xr:uid="{00000000-0005-0000-0000-000003000000}"/>
    <cellStyle name="20% - Énfasis3 2" xfId="13" xr:uid="{00000000-0005-0000-0000-000004000000}"/>
    <cellStyle name="20% - Énfasis3 3" xfId="12" xr:uid="{00000000-0005-0000-0000-000005000000}"/>
    <cellStyle name="20% - Énfasis4 2" xfId="15" xr:uid="{00000000-0005-0000-0000-000006000000}"/>
    <cellStyle name="20% - Énfasis4 3" xfId="14" xr:uid="{00000000-0005-0000-0000-000007000000}"/>
    <cellStyle name="20% - Énfasis5 2" xfId="17" xr:uid="{00000000-0005-0000-0000-000008000000}"/>
    <cellStyle name="20% - Énfasis5 3" xfId="16" xr:uid="{00000000-0005-0000-0000-000009000000}"/>
    <cellStyle name="20% - Énfasis6 2" xfId="19" xr:uid="{00000000-0005-0000-0000-00000A000000}"/>
    <cellStyle name="20% - Énfasis6 3" xfId="18" xr:uid="{00000000-0005-0000-0000-00000B000000}"/>
    <cellStyle name="40% - Énfasis1 2" xfId="21" xr:uid="{00000000-0005-0000-0000-00000C000000}"/>
    <cellStyle name="40% - Énfasis1 3" xfId="20" xr:uid="{00000000-0005-0000-0000-00000D000000}"/>
    <cellStyle name="40% - Énfasis2 2" xfId="23" xr:uid="{00000000-0005-0000-0000-00000E000000}"/>
    <cellStyle name="40% - Énfasis2 3" xfId="22" xr:uid="{00000000-0005-0000-0000-00000F000000}"/>
    <cellStyle name="40% - Énfasis3 2" xfId="25" xr:uid="{00000000-0005-0000-0000-000010000000}"/>
    <cellStyle name="40% - Énfasis3 3" xfId="24" xr:uid="{00000000-0005-0000-0000-000011000000}"/>
    <cellStyle name="40% - Énfasis4 2" xfId="27" xr:uid="{00000000-0005-0000-0000-000012000000}"/>
    <cellStyle name="40% - Énfasis4 3" xfId="26" xr:uid="{00000000-0005-0000-0000-000013000000}"/>
    <cellStyle name="40% - Énfasis5 2" xfId="29" xr:uid="{00000000-0005-0000-0000-000014000000}"/>
    <cellStyle name="40% - Énfasis5 3" xfId="28" xr:uid="{00000000-0005-0000-0000-000015000000}"/>
    <cellStyle name="40% - Énfasis6 2" xfId="31" xr:uid="{00000000-0005-0000-0000-000016000000}"/>
    <cellStyle name="40% - Énfasis6 3" xfId="30" xr:uid="{00000000-0005-0000-0000-000017000000}"/>
    <cellStyle name="60% - Énfasis1 2" xfId="33" xr:uid="{00000000-0005-0000-0000-000018000000}"/>
    <cellStyle name="60% - Énfasis1 3" xfId="32" xr:uid="{00000000-0005-0000-0000-000019000000}"/>
    <cellStyle name="60% - Énfasis2 2" xfId="35" xr:uid="{00000000-0005-0000-0000-00001A000000}"/>
    <cellStyle name="60% - Énfasis2 3" xfId="34" xr:uid="{00000000-0005-0000-0000-00001B000000}"/>
    <cellStyle name="60% - Énfasis3 2" xfId="37" xr:uid="{00000000-0005-0000-0000-00001C000000}"/>
    <cellStyle name="60% - Énfasis3 3" xfId="36" xr:uid="{00000000-0005-0000-0000-00001D000000}"/>
    <cellStyle name="60% - Énfasis4 2" xfId="39" xr:uid="{00000000-0005-0000-0000-00001E000000}"/>
    <cellStyle name="60% - Énfasis4 3" xfId="38" xr:uid="{00000000-0005-0000-0000-00001F000000}"/>
    <cellStyle name="60% - Énfasis5 2" xfId="41" xr:uid="{00000000-0005-0000-0000-000020000000}"/>
    <cellStyle name="60% - Énfasis5 3" xfId="40" xr:uid="{00000000-0005-0000-0000-000021000000}"/>
    <cellStyle name="60% - Énfasis6 2" xfId="43" xr:uid="{00000000-0005-0000-0000-000022000000}"/>
    <cellStyle name="60% - Énfasis6 3" xfId="42" xr:uid="{00000000-0005-0000-0000-000023000000}"/>
    <cellStyle name="Bueno 2" xfId="44" xr:uid="{00000000-0005-0000-0000-000024000000}"/>
    <cellStyle name="Cálculo 2" xfId="46" xr:uid="{00000000-0005-0000-0000-000025000000}"/>
    <cellStyle name="Cálculo 3" xfId="45" xr:uid="{00000000-0005-0000-0000-000026000000}"/>
    <cellStyle name="Celda de comprobación 2" xfId="48" xr:uid="{00000000-0005-0000-0000-000027000000}"/>
    <cellStyle name="Celda de comprobación 3" xfId="47" xr:uid="{00000000-0005-0000-0000-000028000000}"/>
    <cellStyle name="Celda vinculada 2" xfId="50" xr:uid="{00000000-0005-0000-0000-000029000000}"/>
    <cellStyle name="Celda vinculada 3" xfId="49" xr:uid="{00000000-0005-0000-0000-00002A000000}"/>
    <cellStyle name="Encabezado 1 2" xfId="52" xr:uid="{00000000-0005-0000-0000-00002B000000}"/>
    <cellStyle name="Encabezado 1 3" xfId="51" xr:uid="{00000000-0005-0000-0000-00002C000000}"/>
    <cellStyle name="Encabezado 4 2" xfId="54" xr:uid="{00000000-0005-0000-0000-00002D000000}"/>
    <cellStyle name="Encabezado 4 3" xfId="53" xr:uid="{00000000-0005-0000-0000-00002E000000}"/>
    <cellStyle name="Énfasis1 2" xfId="56" xr:uid="{00000000-0005-0000-0000-00002F000000}"/>
    <cellStyle name="Énfasis1 3" xfId="55" xr:uid="{00000000-0005-0000-0000-000030000000}"/>
    <cellStyle name="Énfasis2 2" xfId="58" xr:uid="{00000000-0005-0000-0000-000031000000}"/>
    <cellStyle name="Énfasis2 3" xfId="57" xr:uid="{00000000-0005-0000-0000-000032000000}"/>
    <cellStyle name="Énfasis3 2" xfId="60" xr:uid="{00000000-0005-0000-0000-000033000000}"/>
    <cellStyle name="Énfasis3 3" xfId="59" xr:uid="{00000000-0005-0000-0000-000034000000}"/>
    <cellStyle name="Énfasis4 2" xfId="62" xr:uid="{00000000-0005-0000-0000-000035000000}"/>
    <cellStyle name="Énfasis4 3" xfId="61" xr:uid="{00000000-0005-0000-0000-000036000000}"/>
    <cellStyle name="Énfasis5 2" xfId="64" xr:uid="{00000000-0005-0000-0000-000037000000}"/>
    <cellStyle name="Énfasis5 3" xfId="63" xr:uid="{00000000-0005-0000-0000-000038000000}"/>
    <cellStyle name="Énfasis6 2" xfId="66" xr:uid="{00000000-0005-0000-0000-000039000000}"/>
    <cellStyle name="Énfasis6 3" xfId="65" xr:uid="{00000000-0005-0000-0000-00003A000000}"/>
    <cellStyle name="Entrada 2" xfId="68" xr:uid="{00000000-0005-0000-0000-00003B000000}"/>
    <cellStyle name="Entrada 3" xfId="67" xr:uid="{00000000-0005-0000-0000-00003C000000}"/>
    <cellStyle name="Hipervínculo" xfId="4" builtinId="8"/>
    <cellStyle name="Hipervínculo 2" xfId="70" xr:uid="{00000000-0005-0000-0000-00003E000000}"/>
    <cellStyle name="Hipervínculo 3" xfId="69" xr:uid="{00000000-0005-0000-0000-00003F000000}"/>
    <cellStyle name="Hyperlink" xfId="5" xr:uid="{00000000-0005-0000-0000-000040000000}"/>
    <cellStyle name="Hyperlink 2" xfId="71" xr:uid="{00000000-0005-0000-0000-000041000000}"/>
    <cellStyle name="Incorrecto 2" xfId="73" xr:uid="{00000000-0005-0000-0000-000042000000}"/>
    <cellStyle name="Incorrecto 3" xfId="72" xr:uid="{00000000-0005-0000-0000-000043000000}"/>
    <cellStyle name="Millares" xfId="103" builtinId="3"/>
    <cellStyle name="Millares 2" xfId="75" xr:uid="{00000000-0005-0000-0000-000045000000}"/>
    <cellStyle name="Millares 3" xfId="76" xr:uid="{00000000-0005-0000-0000-000046000000}"/>
    <cellStyle name="Millares 4" xfId="74" xr:uid="{00000000-0005-0000-0000-000047000000}"/>
    <cellStyle name="Moneda" xfId="1" builtinId="4"/>
    <cellStyle name="Neutral 2" xfId="78" xr:uid="{00000000-0005-0000-0000-000049000000}"/>
    <cellStyle name="Neutral 3" xfId="77" xr:uid="{00000000-0005-0000-0000-00004A000000}"/>
    <cellStyle name="Normal" xfId="0" builtinId="0"/>
    <cellStyle name="Normal 2" xfId="3" xr:uid="{00000000-0005-0000-0000-00004C000000}"/>
    <cellStyle name="Normal 2 2" xfId="79" xr:uid="{00000000-0005-0000-0000-00004D000000}"/>
    <cellStyle name="Normal 3" xfId="6" xr:uid="{00000000-0005-0000-0000-00004E000000}"/>
    <cellStyle name="Normal 3 2" xfId="81" xr:uid="{00000000-0005-0000-0000-00004F000000}"/>
    <cellStyle name="Normal 3 3" xfId="80" xr:uid="{00000000-0005-0000-0000-000050000000}"/>
    <cellStyle name="Normal 4" xfId="82" xr:uid="{00000000-0005-0000-0000-000051000000}"/>
    <cellStyle name="Normal 5" xfId="83" xr:uid="{00000000-0005-0000-0000-000052000000}"/>
    <cellStyle name="Normal 6" xfId="84" xr:uid="{00000000-0005-0000-0000-000053000000}"/>
    <cellStyle name="Normal 7" xfId="85" xr:uid="{00000000-0005-0000-0000-000054000000}"/>
    <cellStyle name="Notas 2" xfId="87" xr:uid="{00000000-0005-0000-0000-000055000000}"/>
    <cellStyle name="Notas 3" xfId="86" xr:uid="{00000000-0005-0000-0000-000056000000}"/>
    <cellStyle name="Porcentaje" xfId="2" builtinId="5"/>
    <cellStyle name="Porcentaje 2" xfId="7" xr:uid="{00000000-0005-0000-0000-000058000000}"/>
    <cellStyle name="Salida 2" xfId="89" xr:uid="{00000000-0005-0000-0000-000059000000}"/>
    <cellStyle name="Salida 3" xfId="88" xr:uid="{00000000-0005-0000-0000-00005A000000}"/>
    <cellStyle name="Texto de advertencia 2" xfId="91" xr:uid="{00000000-0005-0000-0000-00005B000000}"/>
    <cellStyle name="Texto de advertencia 3" xfId="90" xr:uid="{00000000-0005-0000-0000-00005C000000}"/>
    <cellStyle name="Texto explicativo 2" xfId="93" xr:uid="{00000000-0005-0000-0000-00005D000000}"/>
    <cellStyle name="Texto explicativo 3" xfId="92" xr:uid="{00000000-0005-0000-0000-00005E000000}"/>
    <cellStyle name="Título 1" xfId="95" xr:uid="{00000000-0005-0000-0000-00005F000000}"/>
    <cellStyle name="Título 2 2" xfId="97" xr:uid="{00000000-0005-0000-0000-000060000000}"/>
    <cellStyle name="Título 2 3" xfId="96" xr:uid="{00000000-0005-0000-0000-000061000000}"/>
    <cellStyle name="Título 3 2" xfId="99" xr:uid="{00000000-0005-0000-0000-000062000000}"/>
    <cellStyle name="Título 3 3" xfId="98" xr:uid="{00000000-0005-0000-0000-000063000000}"/>
    <cellStyle name="Título 4" xfId="100" xr:uid="{00000000-0005-0000-0000-000064000000}"/>
    <cellStyle name="Título 5" xfId="94" xr:uid="{00000000-0005-0000-0000-000065000000}"/>
    <cellStyle name="Total 2" xfId="102" xr:uid="{00000000-0005-0000-0000-000066000000}"/>
    <cellStyle name="Total 3" xfId="101" xr:uid="{00000000-0005-0000-0000-000067000000}"/>
  </cellStyles>
  <dxfs count="10">
    <dxf>
      <fill>
        <patternFill>
          <bgColor theme="5" tint="0.59996337778862885"/>
        </patternFill>
      </fill>
    </dxf>
    <dxf>
      <fill>
        <patternFill>
          <bgColor theme="5"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empresas constructoras</a:t>
            </a:r>
            <a:r>
              <a:rPr lang="en-US" baseline="0"/>
              <a:t> </a:t>
            </a:r>
            <a:r>
              <a:rPr lang="en-US"/>
              <a:t>A+B inscriptas en el IERIC</a:t>
            </a:r>
            <a:r>
              <a:rPr lang="en-US" baseline="0"/>
              <a:t> 2018-2023</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'1.1 - Empresas constructoras'!$D$4</c:f>
              <c:strCache>
                <c:ptCount val="1"/>
                <c:pt idx="0">
                  <c:v>Total empresas A+B</c:v>
                </c:pt>
              </c:strCache>
            </c:strRef>
          </c:tx>
          <c:spPr>
            <a:ln w="28575" cap="rnd">
              <a:solidFill>
                <a:schemeClr val="accent1"/>
              </a:solidFill>
              <a:round/>
            </a:ln>
            <a:effectLst/>
          </c:spPr>
          <c:marker>
            <c:symbol val="none"/>
          </c:marker>
          <c:trendline>
            <c:spPr>
              <a:ln w="19050" cap="rnd">
                <a:solidFill>
                  <a:srgbClr val="FF0000"/>
                </a:solidFill>
                <a:prstDash val="solid"/>
              </a:ln>
              <a:effectLst/>
            </c:spPr>
            <c:trendlineType val="linear"/>
            <c:dispRSqr val="0"/>
            <c:dispEq val="0"/>
          </c:trendline>
          <c:cat>
            <c:multiLvlStrRef>
              <c:f>'1.1 - Empresas constructoras'!$B$5:$C$76</c:f>
              <c:multiLvlStrCache>
                <c:ptCount val="72"/>
                <c:lvl>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pt idx="12">
                    <c:v>Enero</c:v>
                  </c:pt>
                  <c:pt idx="13">
                    <c:v>Febrero</c:v>
                  </c:pt>
                  <c:pt idx="14">
                    <c:v>Marzo</c:v>
                  </c:pt>
                  <c:pt idx="15">
                    <c:v>Abril</c:v>
                  </c:pt>
                  <c:pt idx="16">
                    <c:v>Mayo</c:v>
                  </c:pt>
                  <c:pt idx="17">
                    <c:v>Junio</c:v>
                  </c:pt>
                  <c:pt idx="18">
                    <c:v>Julio</c:v>
                  </c:pt>
                  <c:pt idx="19">
                    <c:v>Agosto</c:v>
                  </c:pt>
                  <c:pt idx="20">
                    <c:v>Septiembre</c:v>
                  </c:pt>
                  <c:pt idx="21">
                    <c:v>Octubre</c:v>
                  </c:pt>
                  <c:pt idx="22">
                    <c:v>Noviembre</c:v>
                  </c:pt>
                  <c:pt idx="23">
                    <c:v>Diciembre</c:v>
                  </c:pt>
                  <c:pt idx="24">
                    <c:v>Enero</c:v>
                  </c:pt>
                  <c:pt idx="25">
                    <c:v>Febrero</c:v>
                  </c:pt>
                  <c:pt idx="26">
                    <c:v>Marzo</c:v>
                  </c:pt>
                  <c:pt idx="27">
                    <c:v>Abril</c:v>
                  </c:pt>
                  <c:pt idx="28">
                    <c:v>Mayo</c:v>
                  </c:pt>
                  <c:pt idx="29">
                    <c:v>Junio</c:v>
                  </c:pt>
                  <c:pt idx="30">
                    <c:v>Julio</c:v>
                  </c:pt>
                  <c:pt idx="31">
                    <c:v>Agosto</c:v>
                  </c:pt>
                  <c:pt idx="32">
                    <c:v>Septiembre</c:v>
                  </c:pt>
                  <c:pt idx="33">
                    <c:v>Octubre</c:v>
                  </c:pt>
                  <c:pt idx="34">
                    <c:v>Noviembre</c:v>
                  </c:pt>
                  <c:pt idx="35">
                    <c:v>Diciembre</c:v>
                  </c:pt>
                  <c:pt idx="36">
                    <c:v>Enero</c:v>
                  </c:pt>
                  <c:pt idx="37">
                    <c:v>Febrero</c:v>
                  </c:pt>
                  <c:pt idx="38">
                    <c:v>Marzo</c:v>
                  </c:pt>
                  <c:pt idx="39">
                    <c:v>Abril</c:v>
                  </c:pt>
                  <c:pt idx="40">
                    <c:v>Mayo</c:v>
                  </c:pt>
                  <c:pt idx="41">
                    <c:v>Junio</c:v>
                  </c:pt>
                  <c:pt idx="42">
                    <c:v>Julio</c:v>
                  </c:pt>
                  <c:pt idx="43">
                    <c:v>Agosto</c:v>
                  </c:pt>
                  <c:pt idx="44">
                    <c:v>Septiembre</c:v>
                  </c:pt>
                  <c:pt idx="45">
                    <c:v>Octubre</c:v>
                  </c:pt>
                  <c:pt idx="46">
                    <c:v>Noviembre</c:v>
                  </c:pt>
                  <c:pt idx="47">
                    <c:v>Diciembre</c:v>
                  </c:pt>
                  <c:pt idx="48">
                    <c:v>Enero</c:v>
                  </c:pt>
                  <c:pt idx="49">
                    <c:v>Febrero</c:v>
                  </c:pt>
                  <c:pt idx="50">
                    <c:v>Marzo</c:v>
                  </c:pt>
                  <c:pt idx="51">
                    <c:v>Abril</c:v>
                  </c:pt>
                  <c:pt idx="52">
                    <c:v>Mayo</c:v>
                  </c:pt>
                  <c:pt idx="53">
                    <c:v>Junio</c:v>
                  </c:pt>
                  <c:pt idx="54">
                    <c:v>Julio</c:v>
                  </c:pt>
                  <c:pt idx="55">
                    <c:v>Agosto</c:v>
                  </c:pt>
                  <c:pt idx="56">
                    <c:v>Septiembre</c:v>
                  </c:pt>
                  <c:pt idx="57">
                    <c:v>Octubre</c:v>
                  </c:pt>
                  <c:pt idx="58">
                    <c:v>Noviembre</c:v>
                  </c:pt>
                  <c:pt idx="59">
                    <c:v>Diciembre</c:v>
                  </c:pt>
                  <c:pt idx="60">
                    <c:v>Enero</c:v>
                  </c:pt>
                  <c:pt idx="61">
                    <c:v>Febrero</c:v>
                  </c:pt>
                  <c:pt idx="62">
                    <c:v>Marzo</c:v>
                  </c:pt>
                  <c:pt idx="63">
                    <c:v>Abril</c:v>
                  </c:pt>
                  <c:pt idx="64">
                    <c:v>Mayo</c:v>
                  </c:pt>
                  <c:pt idx="65">
                    <c:v>Junio</c:v>
                  </c:pt>
                  <c:pt idx="66">
                    <c:v>Julio</c:v>
                  </c:pt>
                  <c:pt idx="67">
                    <c:v>Agosto</c:v>
                  </c:pt>
                  <c:pt idx="68">
                    <c:v>Septiembre</c:v>
                  </c:pt>
                  <c:pt idx="69">
                    <c:v>Octubre</c:v>
                  </c:pt>
                  <c:pt idx="70">
                    <c:v>Noviembre</c:v>
                  </c:pt>
                  <c:pt idx="71">
                    <c:v>Diciembre</c:v>
                  </c:pt>
                </c:lvl>
                <c:lvl>
                  <c:pt idx="0">
                    <c:v>2018</c:v>
                  </c:pt>
                  <c:pt idx="12">
                    <c:v>2019</c:v>
                  </c:pt>
                  <c:pt idx="24">
                    <c:v>2020</c:v>
                  </c:pt>
                  <c:pt idx="36">
                    <c:v>2021</c:v>
                  </c:pt>
                  <c:pt idx="48">
                    <c:v>2022</c:v>
                  </c:pt>
                  <c:pt idx="60">
                    <c:v>2023</c:v>
                  </c:pt>
                </c:lvl>
              </c:multiLvlStrCache>
            </c:multiLvlStrRef>
          </c:cat>
          <c:val>
            <c:numRef>
              <c:f>'1.1 - Empresas constructoras'!$D$5:$D$76</c:f>
              <c:numCache>
                <c:formatCode>General</c:formatCode>
                <c:ptCount val="72"/>
                <c:pt idx="0">
                  <c:v>23776</c:v>
                </c:pt>
                <c:pt idx="1">
                  <c:v>24043</c:v>
                </c:pt>
                <c:pt idx="2">
                  <c:v>24385</c:v>
                </c:pt>
                <c:pt idx="3">
                  <c:v>24691</c:v>
                </c:pt>
                <c:pt idx="4">
                  <c:v>19072</c:v>
                </c:pt>
                <c:pt idx="5">
                  <c:v>19969</c:v>
                </c:pt>
                <c:pt idx="6">
                  <c:v>20679</c:v>
                </c:pt>
                <c:pt idx="7">
                  <c:v>21330</c:v>
                </c:pt>
                <c:pt idx="8">
                  <c:v>21831</c:v>
                </c:pt>
                <c:pt idx="9">
                  <c:v>22413</c:v>
                </c:pt>
                <c:pt idx="10">
                  <c:v>22841</c:v>
                </c:pt>
                <c:pt idx="11">
                  <c:v>23187</c:v>
                </c:pt>
                <c:pt idx="12">
                  <c:v>23533</c:v>
                </c:pt>
                <c:pt idx="13">
                  <c:v>23778</c:v>
                </c:pt>
                <c:pt idx="14">
                  <c:v>24084</c:v>
                </c:pt>
                <c:pt idx="15">
                  <c:v>24292</c:v>
                </c:pt>
                <c:pt idx="16">
                  <c:v>19332</c:v>
                </c:pt>
                <c:pt idx="17">
                  <c:v>20075</c:v>
                </c:pt>
                <c:pt idx="18">
                  <c:v>20665</c:v>
                </c:pt>
                <c:pt idx="19">
                  <c:v>21265</c:v>
                </c:pt>
                <c:pt idx="20">
                  <c:v>21722</c:v>
                </c:pt>
                <c:pt idx="21">
                  <c:v>22228</c:v>
                </c:pt>
                <c:pt idx="22">
                  <c:v>22583</c:v>
                </c:pt>
                <c:pt idx="23">
                  <c:v>22832</c:v>
                </c:pt>
                <c:pt idx="24">
                  <c:v>23109</c:v>
                </c:pt>
                <c:pt idx="25">
                  <c:v>23275</c:v>
                </c:pt>
                <c:pt idx="26">
                  <c:v>23408</c:v>
                </c:pt>
                <c:pt idx="27">
                  <c:v>23401</c:v>
                </c:pt>
                <c:pt idx="28">
                  <c:v>13952</c:v>
                </c:pt>
                <c:pt idx="29">
                  <c:v>15930</c:v>
                </c:pt>
                <c:pt idx="30">
                  <c:v>16776</c:v>
                </c:pt>
                <c:pt idx="31">
                  <c:v>17391</c:v>
                </c:pt>
                <c:pt idx="32">
                  <c:v>17985</c:v>
                </c:pt>
                <c:pt idx="33">
                  <c:v>18518</c:v>
                </c:pt>
                <c:pt idx="34">
                  <c:v>18978</c:v>
                </c:pt>
                <c:pt idx="35">
                  <c:v>19308</c:v>
                </c:pt>
                <c:pt idx="36">
                  <c:v>19632</c:v>
                </c:pt>
                <c:pt idx="37">
                  <c:v>19945</c:v>
                </c:pt>
                <c:pt idx="38">
                  <c:v>20514</c:v>
                </c:pt>
                <c:pt idx="39">
                  <c:v>20843</c:v>
                </c:pt>
                <c:pt idx="40">
                  <c:v>17149</c:v>
                </c:pt>
                <c:pt idx="41">
                  <c:v>17883</c:v>
                </c:pt>
                <c:pt idx="42">
                  <c:v>18450</c:v>
                </c:pt>
                <c:pt idx="43">
                  <c:v>18985</c:v>
                </c:pt>
                <c:pt idx="44">
                  <c:v>19641</c:v>
                </c:pt>
                <c:pt idx="45">
                  <c:v>20125</c:v>
                </c:pt>
                <c:pt idx="46">
                  <c:v>20580</c:v>
                </c:pt>
                <c:pt idx="47">
                  <c:v>20840</c:v>
                </c:pt>
                <c:pt idx="48">
                  <c:v>21105</c:v>
                </c:pt>
                <c:pt idx="49">
                  <c:v>21335</c:v>
                </c:pt>
                <c:pt idx="50">
                  <c:v>21592</c:v>
                </c:pt>
                <c:pt idx="51">
                  <c:v>21849</c:v>
                </c:pt>
                <c:pt idx="52">
                  <c:v>17574</c:v>
                </c:pt>
                <c:pt idx="53">
                  <c:v>18398</c:v>
                </c:pt>
                <c:pt idx="54">
                  <c:v>19007</c:v>
                </c:pt>
                <c:pt idx="55">
                  <c:v>19575</c:v>
                </c:pt>
                <c:pt idx="56">
                  <c:v>20097</c:v>
                </c:pt>
                <c:pt idx="57">
                  <c:v>20519</c:v>
                </c:pt>
                <c:pt idx="58">
                  <c:v>20923</c:v>
                </c:pt>
                <c:pt idx="59">
                  <c:v>21109</c:v>
                </c:pt>
                <c:pt idx="60">
                  <c:v>21458</c:v>
                </c:pt>
                <c:pt idx="61">
                  <c:v>21658</c:v>
                </c:pt>
                <c:pt idx="62">
                  <c:v>22081</c:v>
                </c:pt>
                <c:pt idx="63">
                  <c:v>22238</c:v>
                </c:pt>
                <c:pt idx="64">
                  <c:v>18232</c:v>
                </c:pt>
                <c:pt idx="65">
                  <c:v>18896</c:v>
                </c:pt>
                <c:pt idx="66">
                  <c:v>19456</c:v>
                </c:pt>
                <c:pt idx="67">
                  <c:v>19986</c:v>
                </c:pt>
                <c:pt idx="68">
                  <c:v>20405</c:v>
                </c:pt>
                <c:pt idx="69">
                  <c:v>20768</c:v>
                </c:pt>
                <c:pt idx="70">
                  <c:v>21006</c:v>
                </c:pt>
                <c:pt idx="71">
                  <c:v>21172</c:v>
                </c:pt>
              </c:numCache>
            </c:numRef>
          </c:val>
          <c:smooth val="0"/>
          <c:extLst>
            <c:ext xmlns:c16="http://schemas.microsoft.com/office/drawing/2014/chart" uri="{C3380CC4-5D6E-409C-BE32-E72D297353CC}">
              <c16:uniqueId val="{00000000-A7AF-4FD9-888A-41E72C5502FA}"/>
            </c:ext>
          </c:extLst>
        </c:ser>
        <c:dLbls>
          <c:showLegendKey val="0"/>
          <c:showVal val="0"/>
          <c:showCatName val="0"/>
          <c:showSerName val="0"/>
          <c:showPercent val="0"/>
          <c:showBubbleSize val="0"/>
        </c:dLbls>
        <c:smooth val="0"/>
        <c:axId val="620398520"/>
        <c:axId val="620398160"/>
      </c:lineChart>
      <c:catAx>
        <c:axId val="6203985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620398160"/>
        <c:crosses val="autoZero"/>
        <c:auto val="1"/>
        <c:lblAlgn val="ctr"/>
        <c:lblOffset val="100"/>
        <c:noMultiLvlLbl val="0"/>
      </c:catAx>
      <c:valAx>
        <c:axId val="620398160"/>
        <c:scaling>
          <c:orientation val="minMax"/>
          <c:min val="100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6203985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AR"/>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AR"/>
              <a:t>Total acero Utilizado (kg)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AR"/>
        </a:p>
      </c:txPr>
    </c:title>
    <c:autoTitleDeleted val="0"/>
    <c:plotArea>
      <c:layout/>
      <c:barChart>
        <c:barDir val="col"/>
        <c:grouping val="clustered"/>
        <c:varyColors val="0"/>
        <c:ser>
          <c:idx val="0"/>
          <c:order val="0"/>
          <c:tx>
            <c:strRef>
              <c:f>'1.5 - Proyeccion demanda'!$W$22</c:f>
              <c:strCache>
                <c:ptCount val="1"/>
                <c:pt idx="0">
                  <c:v>Acero (kg)</c:v>
                </c:pt>
              </c:strCache>
            </c:strRef>
          </c:tx>
          <c:spPr>
            <a:solidFill>
              <a:schemeClr val="accent1"/>
            </a:solidFill>
            <a:ln>
              <a:noFill/>
            </a:ln>
            <a:effectLst/>
          </c:spPr>
          <c:invertIfNegative val="0"/>
          <c:dPt>
            <c:idx val="1"/>
            <c:invertIfNegative val="0"/>
            <c:bubble3D val="0"/>
            <c:spPr>
              <a:solidFill>
                <a:srgbClr val="FFC000"/>
              </a:solidFill>
              <a:ln>
                <a:noFill/>
              </a:ln>
              <a:effectLst/>
            </c:spPr>
            <c:extLst>
              <c:ext xmlns:c16="http://schemas.microsoft.com/office/drawing/2014/chart" uri="{C3380CC4-5D6E-409C-BE32-E72D297353CC}">
                <c16:uniqueId val="{00000001-5E80-4EF9-9466-BE6E7BB8BFC2}"/>
              </c:ext>
            </c:extLst>
          </c:dPt>
          <c:cat>
            <c:strRef>
              <c:f>'1.5 - Proyeccion demanda'!$V$23:$V$24</c:f>
              <c:strCache>
                <c:ptCount val="2"/>
                <c:pt idx="0">
                  <c:v>Utilizando Alivianadores</c:v>
                </c:pt>
                <c:pt idx="1">
                  <c:v>Losa maciza tradicional</c:v>
                </c:pt>
              </c:strCache>
            </c:strRef>
          </c:cat>
          <c:val>
            <c:numRef>
              <c:f>'1.5 - Proyeccion demanda'!$W$23:$W$24</c:f>
              <c:numCache>
                <c:formatCode>General</c:formatCode>
                <c:ptCount val="2"/>
                <c:pt idx="0">
                  <c:v>190118</c:v>
                </c:pt>
                <c:pt idx="1">
                  <c:v>247380</c:v>
                </c:pt>
              </c:numCache>
            </c:numRef>
          </c:val>
          <c:extLst>
            <c:ext xmlns:c16="http://schemas.microsoft.com/office/drawing/2014/chart" uri="{C3380CC4-5D6E-409C-BE32-E72D297353CC}">
              <c16:uniqueId val="{00000000-5E80-4EF9-9466-BE6E7BB8BFC2}"/>
            </c:ext>
          </c:extLst>
        </c:ser>
        <c:dLbls>
          <c:showLegendKey val="0"/>
          <c:showVal val="0"/>
          <c:showCatName val="0"/>
          <c:showSerName val="0"/>
          <c:showPercent val="0"/>
          <c:showBubbleSize val="0"/>
        </c:dLbls>
        <c:gapWidth val="219"/>
        <c:overlap val="-27"/>
        <c:axId val="295153048"/>
        <c:axId val="295153408"/>
      </c:barChart>
      <c:catAx>
        <c:axId val="295153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295153408"/>
        <c:crosses val="autoZero"/>
        <c:auto val="1"/>
        <c:lblAlgn val="ctr"/>
        <c:lblOffset val="100"/>
        <c:noMultiLvlLbl val="0"/>
      </c:catAx>
      <c:valAx>
        <c:axId val="2951534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295153048"/>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AR"/>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AR"/>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AR"/>
              <a:t>Estimacion</a:t>
            </a:r>
            <a:r>
              <a:rPr lang="es-AR" baseline="0"/>
              <a:t> de la demanda mensual aliviandores periodo 2024-2028</a:t>
            </a:r>
            <a:endParaRPr lang="es-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AR"/>
        </a:p>
      </c:txPr>
    </c:title>
    <c:autoTitleDeleted val="0"/>
    <c:plotArea>
      <c:layout/>
      <c:lineChart>
        <c:grouping val="standard"/>
        <c:varyColors val="0"/>
        <c:ser>
          <c:idx val="0"/>
          <c:order val="0"/>
          <c:tx>
            <c:strRef>
              <c:f>'1.5 - Proyeccion demanda'!$L$4</c:f>
              <c:strCache>
                <c:ptCount val="1"/>
                <c:pt idx="0">
                  <c:v>Demanda alivianadores</c:v>
                </c:pt>
              </c:strCache>
            </c:strRef>
          </c:tx>
          <c:spPr>
            <a:ln w="28575" cap="rnd">
              <a:solidFill>
                <a:schemeClr val="accent1"/>
              </a:solidFill>
              <a:round/>
            </a:ln>
            <a:effectLst/>
          </c:spPr>
          <c:marker>
            <c:symbol val="none"/>
          </c:marker>
          <c:trendline>
            <c:spPr>
              <a:ln w="19050" cap="rnd">
                <a:solidFill>
                  <a:srgbClr val="FF0000"/>
                </a:solidFill>
                <a:prstDash val="solid"/>
              </a:ln>
              <a:effectLst/>
            </c:spPr>
            <c:trendlineType val="linear"/>
            <c:dispRSqr val="0"/>
            <c:dispEq val="0"/>
          </c:trendline>
          <c:cat>
            <c:multiLvlStrRef>
              <c:f>'1.5 - Proyeccion demanda'!$B$5:$C$64</c:f>
              <c:multiLvlStrCache>
                <c:ptCount val="60"/>
                <c:lvl>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pt idx="12">
                    <c:v>Enero</c:v>
                  </c:pt>
                  <c:pt idx="13">
                    <c:v>Febrero</c:v>
                  </c:pt>
                  <c:pt idx="14">
                    <c:v>Marzo</c:v>
                  </c:pt>
                  <c:pt idx="15">
                    <c:v>Abril</c:v>
                  </c:pt>
                  <c:pt idx="16">
                    <c:v>Mayo</c:v>
                  </c:pt>
                  <c:pt idx="17">
                    <c:v>Junio</c:v>
                  </c:pt>
                  <c:pt idx="18">
                    <c:v>Julio</c:v>
                  </c:pt>
                  <c:pt idx="19">
                    <c:v>Agosto</c:v>
                  </c:pt>
                  <c:pt idx="20">
                    <c:v>Septiembre</c:v>
                  </c:pt>
                  <c:pt idx="21">
                    <c:v>Octubre</c:v>
                  </c:pt>
                  <c:pt idx="22">
                    <c:v>Noviembre</c:v>
                  </c:pt>
                  <c:pt idx="23">
                    <c:v>Diciembre</c:v>
                  </c:pt>
                  <c:pt idx="24">
                    <c:v>Enero</c:v>
                  </c:pt>
                  <c:pt idx="25">
                    <c:v>Febrero</c:v>
                  </c:pt>
                  <c:pt idx="26">
                    <c:v>Marzo</c:v>
                  </c:pt>
                  <c:pt idx="27">
                    <c:v>Abril</c:v>
                  </c:pt>
                  <c:pt idx="28">
                    <c:v>Mayo</c:v>
                  </c:pt>
                  <c:pt idx="29">
                    <c:v>Junio</c:v>
                  </c:pt>
                  <c:pt idx="30">
                    <c:v>Julio</c:v>
                  </c:pt>
                  <c:pt idx="31">
                    <c:v>Agosto</c:v>
                  </c:pt>
                  <c:pt idx="32">
                    <c:v>Septiembre</c:v>
                  </c:pt>
                  <c:pt idx="33">
                    <c:v>Octubre</c:v>
                  </c:pt>
                  <c:pt idx="34">
                    <c:v>Noviembre</c:v>
                  </c:pt>
                  <c:pt idx="35">
                    <c:v>Diciembre</c:v>
                  </c:pt>
                  <c:pt idx="36">
                    <c:v>Enero</c:v>
                  </c:pt>
                  <c:pt idx="37">
                    <c:v>Febrero</c:v>
                  </c:pt>
                  <c:pt idx="38">
                    <c:v>Marzo</c:v>
                  </c:pt>
                  <c:pt idx="39">
                    <c:v>Abril</c:v>
                  </c:pt>
                  <c:pt idx="40">
                    <c:v>Mayo</c:v>
                  </c:pt>
                  <c:pt idx="41">
                    <c:v>Junio</c:v>
                  </c:pt>
                  <c:pt idx="42">
                    <c:v>Julio</c:v>
                  </c:pt>
                  <c:pt idx="43">
                    <c:v>Agosto</c:v>
                  </c:pt>
                  <c:pt idx="44">
                    <c:v>Septiembre</c:v>
                  </c:pt>
                  <c:pt idx="45">
                    <c:v>Octubre</c:v>
                  </c:pt>
                  <c:pt idx="46">
                    <c:v>Noviembre</c:v>
                  </c:pt>
                  <c:pt idx="47">
                    <c:v>Diciembre</c:v>
                  </c:pt>
                  <c:pt idx="48">
                    <c:v>Enero</c:v>
                  </c:pt>
                  <c:pt idx="49">
                    <c:v>Febrero</c:v>
                  </c:pt>
                  <c:pt idx="50">
                    <c:v>Marzo</c:v>
                  </c:pt>
                  <c:pt idx="51">
                    <c:v>Abril</c:v>
                  </c:pt>
                  <c:pt idx="52">
                    <c:v>Mayo</c:v>
                  </c:pt>
                  <c:pt idx="53">
                    <c:v>Junio</c:v>
                  </c:pt>
                  <c:pt idx="54">
                    <c:v>Julio</c:v>
                  </c:pt>
                  <c:pt idx="55">
                    <c:v>Agosto</c:v>
                  </c:pt>
                  <c:pt idx="56">
                    <c:v>Septiembre</c:v>
                  </c:pt>
                  <c:pt idx="57">
                    <c:v>Octubre</c:v>
                  </c:pt>
                  <c:pt idx="58">
                    <c:v>Noviembre</c:v>
                  </c:pt>
                  <c:pt idx="59">
                    <c:v>Diciembre</c:v>
                  </c:pt>
                </c:lvl>
                <c:lvl>
                  <c:pt idx="0">
                    <c:v>2024</c:v>
                  </c:pt>
                  <c:pt idx="12">
                    <c:v>2025</c:v>
                  </c:pt>
                  <c:pt idx="24">
                    <c:v>2026</c:v>
                  </c:pt>
                  <c:pt idx="36">
                    <c:v>2027</c:v>
                  </c:pt>
                  <c:pt idx="48">
                    <c:v>2028</c:v>
                  </c:pt>
                </c:lvl>
              </c:multiLvlStrCache>
            </c:multiLvlStrRef>
          </c:cat>
          <c:val>
            <c:numRef>
              <c:f>'1.5 - Proyeccion demanda'!$L$5:$L$64</c:f>
              <c:numCache>
                <c:formatCode>#,##0</c:formatCode>
                <c:ptCount val="60"/>
                <c:pt idx="0">
                  <c:v>0</c:v>
                </c:pt>
                <c:pt idx="1">
                  <c:v>0</c:v>
                </c:pt>
                <c:pt idx="2">
                  <c:v>458.78715296772765</c:v>
                </c:pt>
                <c:pt idx="3">
                  <c:v>654.46540635441795</c:v>
                </c:pt>
                <c:pt idx="4">
                  <c:v>1133.3639071574148</c:v>
                </c:pt>
                <c:pt idx="5">
                  <c:v>2020.7089346366156</c:v>
                </c:pt>
                <c:pt idx="6">
                  <c:v>2761.5709020347103</c:v>
                </c:pt>
                <c:pt idx="7">
                  <c:v>3891.7400077509606</c:v>
                </c:pt>
                <c:pt idx="8">
                  <c:v>3966.860855363675</c:v>
                </c:pt>
                <c:pt idx="9">
                  <c:v>4295.2126467347898</c:v>
                </c:pt>
                <c:pt idx="10">
                  <c:v>4984.5591332376289</c:v>
                </c:pt>
                <c:pt idx="11">
                  <c:v>4293.0109923016389</c:v>
                </c:pt>
                <c:pt idx="12">
                  <c:v>8237.8105367251537</c:v>
                </c:pt>
                <c:pt idx="13">
                  <c:v>8224.669631947294</c:v>
                </c:pt>
                <c:pt idx="14">
                  <c:v>9689.5829090955904</c:v>
                </c:pt>
                <c:pt idx="15">
                  <c:v>9212.6014060285579</c:v>
                </c:pt>
                <c:pt idx="16">
                  <c:v>9569.9614281447157</c:v>
                </c:pt>
                <c:pt idx="17">
                  <c:v>10661.529474735869</c:v>
                </c:pt>
                <c:pt idx="18">
                  <c:v>10594.12544834003</c:v>
                </c:pt>
                <c:pt idx="19">
                  <c:v>11727.735648921653</c:v>
                </c:pt>
                <c:pt idx="20">
                  <c:v>11154.543259115637</c:v>
                </c:pt>
                <c:pt idx="21">
                  <c:v>10654.435201969105</c:v>
                </c:pt>
                <c:pt idx="22">
                  <c:v>11060.310640978521</c:v>
                </c:pt>
                <c:pt idx="23">
                  <c:v>9047.4573485301571</c:v>
                </c:pt>
                <c:pt idx="24">
                  <c:v>13017.837287808028</c:v>
                </c:pt>
                <c:pt idx="25">
                  <c:v>12994.141413272167</c:v>
                </c:pt>
                <c:pt idx="26">
                  <c:v>15305.134138254945</c:v>
                </c:pt>
                <c:pt idx="27">
                  <c:v>14548.496090997309</c:v>
                </c:pt>
                <c:pt idx="28">
                  <c:v>15109.517398545166</c:v>
                </c:pt>
                <c:pt idx="29">
                  <c:v>16829.271414432995</c:v>
                </c:pt>
                <c:pt idx="30">
                  <c:v>16719.262333921666</c:v>
                </c:pt>
                <c:pt idx="31">
                  <c:v>18504.321199260841</c:v>
                </c:pt>
                <c:pt idx="32">
                  <c:v>17596.18635589222</c:v>
                </c:pt>
                <c:pt idx="33">
                  <c:v>16803.731558608044</c:v>
                </c:pt>
                <c:pt idx="34">
                  <c:v>17440.218870606201</c:v>
                </c:pt>
                <c:pt idx="35">
                  <c:v>14263.339068685542</c:v>
                </c:pt>
                <c:pt idx="36">
                  <c:v>18238.611694037776</c:v>
                </c:pt>
                <c:pt idx="37">
                  <c:v>18201.704504831188</c:v>
                </c:pt>
                <c:pt idx="38">
                  <c:v>21434.525217155337</c:v>
                </c:pt>
                <c:pt idx="39">
                  <c:v>20370.78676393571</c:v>
                </c:pt>
                <c:pt idx="40">
                  <c:v>21152.123539831016</c:v>
                </c:pt>
                <c:pt idx="41">
                  <c:v>23554.998155682893</c:v>
                </c:pt>
                <c:pt idx="42">
                  <c:v>23396.448660444385</c:v>
                </c:pt>
                <c:pt idx="43">
                  <c:v>25889.385233518937</c:v>
                </c:pt>
                <c:pt idx="44">
                  <c:v>24614.077097481309</c:v>
                </c:pt>
                <c:pt idx="45">
                  <c:v>23501.080419016591</c:v>
                </c:pt>
                <c:pt idx="46">
                  <c:v>24386.629039659507</c:v>
                </c:pt>
                <c:pt idx="47">
                  <c:v>19940.656152767806</c:v>
                </c:pt>
                <c:pt idx="48">
                  <c:v>23900.133755414401</c:v>
                </c:pt>
                <c:pt idx="49">
                  <c:v>23847.358906624358</c:v>
                </c:pt>
                <c:pt idx="50">
                  <c:v>28077.756145796775</c:v>
                </c:pt>
                <c:pt idx="51">
                  <c:v>26679.473424843756</c:v>
                </c:pt>
                <c:pt idx="52">
                  <c:v>27697.779852002262</c:v>
                </c:pt>
                <c:pt idx="53">
                  <c:v>30838.7096984856</c:v>
                </c:pt>
                <c:pt idx="54">
                  <c:v>30625.684427908192</c:v>
                </c:pt>
                <c:pt idx="55">
                  <c:v>33882.927751695934</c:v>
                </c:pt>
                <c:pt idx="56">
                  <c:v>32208.215483882901</c:v>
                </c:pt>
                <c:pt idx="57">
                  <c:v>30746.481783194722</c:v>
                </c:pt>
                <c:pt idx="58">
                  <c:v>31899.541148138429</c:v>
                </c:pt>
                <c:pt idx="59">
                  <c:v>26079.408600776944</c:v>
                </c:pt>
              </c:numCache>
            </c:numRef>
          </c:val>
          <c:smooth val="0"/>
          <c:extLst>
            <c:ext xmlns:c16="http://schemas.microsoft.com/office/drawing/2014/chart" uri="{C3380CC4-5D6E-409C-BE32-E72D297353CC}">
              <c16:uniqueId val="{00000000-0617-4175-807E-F7D526F6534A}"/>
            </c:ext>
          </c:extLst>
        </c:ser>
        <c:dLbls>
          <c:showLegendKey val="0"/>
          <c:showVal val="0"/>
          <c:showCatName val="0"/>
          <c:showSerName val="0"/>
          <c:showPercent val="0"/>
          <c:showBubbleSize val="0"/>
        </c:dLbls>
        <c:smooth val="0"/>
        <c:axId val="521470624"/>
        <c:axId val="521471704"/>
      </c:lineChart>
      <c:catAx>
        <c:axId val="5214706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521471704"/>
        <c:crosses val="autoZero"/>
        <c:auto val="1"/>
        <c:lblAlgn val="ctr"/>
        <c:lblOffset val="100"/>
        <c:noMultiLvlLbl val="0"/>
      </c:catAx>
      <c:valAx>
        <c:axId val="52147170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52147062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AR"/>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AR" sz="1400" b="0" i="0" u="none" strike="noStrike" kern="1200" spc="0" baseline="0">
                <a:solidFill>
                  <a:sysClr val="windowText" lastClr="000000">
                    <a:lumMod val="65000"/>
                    <a:lumOff val="35000"/>
                  </a:sysClr>
                </a:solidFill>
              </a:rPr>
              <a:t>Estimacion metros cuadrados a cubrir periodo 2024-2028</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AR"/>
        </a:p>
      </c:txPr>
    </c:title>
    <c:autoTitleDeleted val="0"/>
    <c:plotArea>
      <c:layout/>
      <c:lineChart>
        <c:grouping val="standard"/>
        <c:varyColors val="0"/>
        <c:ser>
          <c:idx val="0"/>
          <c:order val="0"/>
          <c:tx>
            <c:strRef>
              <c:f>'1.5 - Proyeccion demanda'!$O$4</c:f>
              <c:strCache>
                <c:ptCount val="1"/>
                <c:pt idx="0">
                  <c:v>Cantidad de metros cuadrados</c:v>
                </c:pt>
              </c:strCache>
            </c:strRef>
          </c:tx>
          <c:spPr>
            <a:ln w="28575" cap="rnd">
              <a:solidFill>
                <a:schemeClr val="accent1"/>
              </a:solidFill>
              <a:round/>
            </a:ln>
            <a:effectLst/>
          </c:spPr>
          <c:marker>
            <c:symbol val="none"/>
          </c:marker>
          <c:trendline>
            <c:spPr>
              <a:ln w="19050" cap="rnd">
                <a:solidFill>
                  <a:srgbClr val="FF0000"/>
                </a:solidFill>
                <a:prstDash val="solid"/>
              </a:ln>
              <a:effectLst/>
            </c:spPr>
            <c:trendlineType val="linear"/>
            <c:dispRSqr val="0"/>
            <c:dispEq val="0"/>
          </c:trendline>
          <c:cat>
            <c:multiLvlStrRef>
              <c:f>'1.5 - Proyeccion demanda'!$B$5:$C$64</c:f>
              <c:multiLvlStrCache>
                <c:ptCount val="60"/>
                <c:lvl>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pt idx="12">
                    <c:v>Enero</c:v>
                  </c:pt>
                  <c:pt idx="13">
                    <c:v>Febrero</c:v>
                  </c:pt>
                  <c:pt idx="14">
                    <c:v>Marzo</c:v>
                  </c:pt>
                  <c:pt idx="15">
                    <c:v>Abril</c:v>
                  </c:pt>
                  <c:pt idx="16">
                    <c:v>Mayo</c:v>
                  </c:pt>
                  <c:pt idx="17">
                    <c:v>Junio</c:v>
                  </c:pt>
                  <c:pt idx="18">
                    <c:v>Julio</c:v>
                  </c:pt>
                  <c:pt idx="19">
                    <c:v>Agosto</c:v>
                  </c:pt>
                  <c:pt idx="20">
                    <c:v>Septiembre</c:v>
                  </c:pt>
                  <c:pt idx="21">
                    <c:v>Octubre</c:v>
                  </c:pt>
                  <c:pt idx="22">
                    <c:v>Noviembre</c:v>
                  </c:pt>
                  <c:pt idx="23">
                    <c:v>Diciembre</c:v>
                  </c:pt>
                  <c:pt idx="24">
                    <c:v>Enero</c:v>
                  </c:pt>
                  <c:pt idx="25">
                    <c:v>Febrero</c:v>
                  </c:pt>
                  <c:pt idx="26">
                    <c:v>Marzo</c:v>
                  </c:pt>
                  <c:pt idx="27">
                    <c:v>Abril</c:v>
                  </c:pt>
                  <c:pt idx="28">
                    <c:v>Mayo</c:v>
                  </c:pt>
                  <c:pt idx="29">
                    <c:v>Junio</c:v>
                  </c:pt>
                  <c:pt idx="30">
                    <c:v>Julio</c:v>
                  </c:pt>
                  <c:pt idx="31">
                    <c:v>Agosto</c:v>
                  </c:pt>
                  <c:pt idx="32">
                    <c:v>Septiembre</c:v>
                  </c:pt>
                  <c:pt idx="33">
                    <c:v>Octubre</c:v>
                  </c:pt>
                  <c:pt idx="34">
                    <c:v>Noviembre</c:v>
                  </c:pt>
                  <c:pt idx="35">
                    <c:v>Diciembre</c:v>
                  </c:pt>
                  <c:pt idx="36">
                    <c:v>Enero</c:v>
                  </c:pt>
                  <c:pt idx="37">
                    <c:v>Febrero</c:v>
                  </c:pt>
                  <c:pt idx="38">
                    <c:v>Marzo</c:v>
                  </c:pt>
                  <c:pt idx="39">
                    <c:v>Abril</c:v>
                  </c:pt>
                  <c:pt idx="40">
                    <c:v>Mayo</c:v>
                  </c:pt>
                  <c:pt idx="41">
                    <c:v>Junio</c:v>
                  </c:pt>
                  <c:pt idx="42">
                    <c:v>Julio</c:v>
                  </c:pt>
                  <c:pt idx="43">
                    <c:v>Agosto</c:v>
                  </c:pt>
                  <c:pt idx="44">
                    <c:v>Septiembre</c:v>
                  </c:pt>
                  <c:pt idx="45">
                    <c:v>Octubre</c:v>
                  </c:pt>
                  <c:pt idx="46">
                    <c:v>Noviembre</c:v>
                  </c:pt>
                  <c:pt idx="47">
                    <c:v>Diciembre</c:v>
                  </c:pt>
                  <c:pt idx="48">
                    <c:v>Enero</c:v>
                  </c:pt>
                  <c:pt idx="49">
                    <c:v>Febrero</c:v>
                  </c:pt>
                  <c:pt idx="50">
                    <c:v>Marzo</c:v>
                  </c:pt>
                  <c:pt idx="51">
                    <c:v>Abril</c:v>
                  </c:pt>
                  <c:pt idx="52">
                    <c:v>Mayo</c:v>
                  </c:pt>
                  <c:pt idx="53">
                    <c:v>Junio</c:v>
                  </c:pt>
                  <c:pt idx="54">
                    <c:v>Julio</c:v>
                  </c:pt>
                  <c:pt idx="55">
                    <c:v>Agosto</c:v>
                  </c:pt>
                  <c:pt idx="56">
                    <c:v>Septiembre</c:v>
                  </c:pt>
                  <c:pt idx="57">
                    <c:v>Octubre</c:v>
                  </c:pt>
                  <c:pt idx="58">
                    <c:v>Noviembre</c:v>
                  </c:pt>
                  <c:pt idx="59">
                    <c:v>Diciembre</c:v>
                  </c:pt>
                </c:lvl>
                <c:lvl>
                  <c:pt idx="0">
                    <c:v>2024</c:v>
                  </c:pt>
                  <c:pt idx="12">
                    <c:v>2025</c:v>
                  </c:pt>
                  <c:pt idx="24">
                    <c:v>2026</c:v>
                  </c:pt>
                  <c:pt idx="36">
                    <c:v>2027</c:v>
                  </c:pt>
                  <c:pt idx="48">
                    <c:v>2028</c:v>
                  </c:pt>
                </c:lvl>
              </c:multiLvlStrCache>
            </c:multiLvlStrRef>
          </c:cat>
          <c:val>
            <c:numRef>
              <c:f>'1.5 - Proyeccion demanda'!$O$5:$O$64</c:f>
              <c:numCache>
                <c:formatCode>#,##0</c:formatCode>
                <c:ptCount val="60"/>
                <c:pt idx="0">
                  <c:v>0</c:v>
                </c:pt>
                <c:pt idx="1">
                  <c:v>0</c:v>
                </c:pt>
                <c:pt idx="2">
                  <c:v>45.878715296772768</c:v>
                </c:pt>
                <c:pt idx="3">
                  <c:v>65.446540635441792</c:v>
                </c:pt>
                <c:pt idx="4">
                  <c:v>113.33639071574149</c:v>
                </c:pt>
                <c:pt idx="5">
                  <c:v>202.07089346366155</c:v>
                </c:pt>
                <c:pt idx="6">
                  <c:v>276.15709020347106</c:v>
                </c:pt>
                <c:pt idx="7">
                  <c:v>389.17400077509603</c:v>
                </c:pt>
                <c:pt idx="8">
                  <c:v>396.6860855363675</c:v>
                </c:pt>
                <c:pt idx="9">
                  <c:v>429.52126467347898</c:v>
                </c:pt>
                <c:pt idx="10">
                  <c:v>498.4559133237629</c:v>
                </c:pt>
                <c:pt idx="11">
                  <c:v>429.30109923016391</c:v>
                </c:pt>
                <c:pt idx="12">
                  <c:v>823.78105367251533</c:v>
                </c:pt>
                <c:pt idx="13">
                  <c:v>822.46696319472937</c:v>
                </c:pt>
                <c:pt idx="14">
                  <c:v>968.95829090955908</c:v>
                </c:pt>
                <c:pt idx="15">
                  <c:v>921.26014060285581</c:v>
                </c:pt>
                <c:pt idx="16">
                  <c:v>956.99614281447157</c:v>
                </c:pt>
                <c:pt idx="17">
                  <c:v>1066.1529474735869</c:v>
                </c:pt>
                <c:pt idx="18">
                  <c:v>1059.412544834003</c:v>
                </c:pt>
                <c:pt idx="19">
                  <c:v>1172.7735648921653</c:v>
                </c:pt>
                <c:pt idx="20">
                  <c:v>1115.4543259115637</c:v>
                </c:pt>
                <c:pt idx="21">
                  <c:v>1065.4435201969104</c:v>
                </c:pt>
                <c:pt idx="22">
                  <c:v>1106.0310640978521</c:v>
                </c:pt>
                <c:pt idx="23">
                  <c:v>904.74573485301573</c:v>
                </c:pt>
                <c:pt idx="24">
                  <c:v>1301.7837287808029</c:v>
                </c:pt>
                <c:pt idx="25">
                  <c:v>1299.4141413272168</c:v>
                </c:pt>
                <c:pt idx="26">
                  <c:v>1530.5134138254946</c:v>
                </c:pt>
                <c:pt idx="27">
                  <c:v>1454.849609099731</c:v>
                </c:pt>
                <c:pt idx="28">
                  <c:v>1510.9517398545165</c:v>
                </c:pt>
                <c:pt idx="29">
                  <c:v>1682.9271414432994</c:v>
                </c:pt>
                <c:pt idx="30">
                  <c:v>1671.9262333921665</c:v>
                </c:pt>
                <c:pt idx="31">
                  <c:v>1850.4321199260842</c:v>
                </c:pt>
                <c:pt idx="32">
                  <c:v>1759.6186355892219</c:v>
                </c:pt>
                <c:pt idx="33">
                  <c:v>1680.3731558608044</c:v>
                </c:pt>
                <c:pt idx="34">
                  <c:v>1744.02188706062</c:v>
                </c:pt>
                <c:pt idx="35">
                  <c:v>1426.3339068685541</c:v>
                </c:pt>
                <c:pt idx="36">
                  <c:v>1823.8611694037777</c:v>
                </c:pt>
                <c:pt idx="37">
                  <c:v>1820.1704504831189</c:v>
                </c:pt>
                <c:pt idx="38">
                  <c:v>2143.4525217155337</c:v>
                </c:pt>
                <c:pt idx="39">
                  <c:v>2037.078676393571</c:v>
                </c:pt>
                <c:pt idx="40">
                  <c:v>2115.2123539831018</c:v>
                </c:pt>
                <c:pt idx="41">
                  <c:v>2355.4998155682893</c:v>
                </c:pt>
                <c:pt idx="42">
                  <c:v>2339.6448660444385</c:v>
                </c:pt>
                <c:pt idx="43">
                  <c:v>2588.9385233518938</c:v>
                </c:pt>
                <c:pt idx="44">
                  <c:v>2461.4077097481309</c:v>
                </c:pt>
                <c:pt idx="45">
                  <c:v>2350.1080419016589</c:v>
                </c:pt>
                <c:pt idx="46">
                  <c:v>2438.6629039659506</c:v>
                </c:pt>
                <c:pt idx="47">
                  <c:v>1994.0656152767806</c:v>
                </c:pt>
                <c:pt idx="48">
                  <c:v>2390.0133755414399</c:v>
                </c:pt>
                <c:pt idx="49">
                  <c:v>2384.7358906624358</c:v>
                </c:pt>
                <c:pt idx="50">
                  <c:v>2807.7756145796775</c:v>
                </c:pt>
                <c:pt idx="51">
                  <c:v>2667.9473424843754</c:v>
                </c:pt>
                <c:pt idx="52">
                  <c:v>2769.7779852002263</c:v>
                </c:pt>
                <c:pt idx="53">
                  <c:v>3083.87096984856</c:v>
                </c:pt>
                <c:pt idx="54">
                  <c:v>3062.5684427908191</c:v>
                </c:pt>
                <c:pt idx="55">
                  <c:v>3388.2927751695934</c:v>
                </c:pt>
                <c:pt idx="56">
                  <c:v>3220.82154838829</c:v>
                </c:pt>
                <c:pt idx="57">
                  <c:v>3074.6481783194722</c:v>
                </c:pt>
                <c:pt idx="58">
                  <c:v>3189.9541148138428</c:v>
                </c:pt>
                <c:pt idx="59">
                  <c:v>2607.9408600776942</c:v>
                </c:pt>
              </c:numCache>
            </c:numRef>
          </c:val>
          <c:smooth val="0"/>
          <c:extLst>
            <c:ext xmlns:c16="http://schemas.microsoft.com/office/drawing/2014/chart" uri="{C3380CC4-5D6E-409C-BE32-E72D297353CC}">
              <c16:uniqueId val="{00000000-61A3-4DFF-9F11-D541C945580C}"/>
            </c:ext>
          </c:extLst>
        </c:ser>
        <c:dLbls>
          <c:showLegendKey val="0"/>
          <c:showVal val="0"/>
          <c:showCatName val="0"/>
          <c:showSerName val="0"/>
          <c:showPercent val="0"/>
          <c:showBubbleSize val="0"/>
        </c:dLbls>
        <c:smooth val="0"/>
        <c:axId val="739586712"/>
        <c:axId val="739584912"/>
      </c:lineChart>
      <c:catAx>
        <c:axId val="7395867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739584912"/>
        <c:crosses val="autoZero"/>
        <c:auto val="1"/>
        <c:lblAlgn val="ctr"/>
        <c:lblOffset val="100"/>
        <c:noMultiLvlLbl val="0"/>
      </c:catAx>
      <c:valAx>
        <c:axId val="73958491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73958671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AR"/>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Estimacion de la demanda anual de alivianadores</a:t>
            </a:r>
            <a:r>
              <a:rPr lang="en-US" baseline="0"/>
              <a:t> 2024 - 2028</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cat>
            <c:numRef>
              <c:extLst>
                <c:ext xmlns:c15="http://schemas.microsoft.com/office/drawing/2012/chart" uri="{02D57815-91ED-43cb-92C2-25804820EDAC}">
                  <c15:fullRef>
                    <c15:sqref>'1.5 - Proyeccion demanda'!$B$5:$B$64</c15:sqref>
                  </c15:fullRef>
                </c:ext>
              </c:extLst>
              <c:f>('1.5 - Proyeccion demanda'!$B$5,'1.5 - Proyeccion demanda'!$B$17,'1.5 - Proyeccion demanda'!$B$29,'1.5 - Proyeccion demanda'!$B$41,'1.5 - Proyeccion demanda'!$B$53)</c:f>
              <c:numCache>
                <c:formatCode>General</c:formatCode>
                <c:ptCount val="5"/>
                <c:pt idx="0">
                  <c:v>2024</c:v>
                </c:pt>
                <c:pt idx="1">
                  <c:v>2025</c:v>
                </c:pt>
                <c:pt idx="2">
                  <c:v>2026</c:v>
                </c:pt>
                <c:pt idx="3">
                  <c:v>2027</c:v>
                </c:pt>
                <c:pt idx="4">
                  <c:v>2028</c:v>
                </c:pt>
              </c:numCache>
            </c:numRef>
          </c:cat>
          <c:val>
            <c:numRef>
              <c:extLst>
                <c:ext xmlns:c15="http://schemas.microsoft.com/office/drawing/2012/chart" uri="{02D57815-91ED-43cb-92C2-25804820EDAC}">
                  <c15:fullRef>
                    <c15:sqref>'1.5 - Proyeccion demanda'!$N$5:$N$64</c15:sqref>
                  </c15:fullRef>
                </c:ext>
              </c:extLst>
              <c:f>('1.5 - Proyeccion demanda'!$N$5,'1.5 - Proyeccion demanda'!$N$17,'1.5 - Proyeccion demanda'!$N$29,'1.5 - Proyeccion demanda'!$N$41,'1.5 - Proyeccion demanda'!$N$53)</c:f>
              <c:numCache>
                <c:formatCode>#,##0</c:formatCode>
                <c:ptCount val="5"/>
                <c:pt idx="0">
                  <c:v>28460.279938539581</c:v>
                </c:pt>
                <c:pt idx="1">
                  <c:v>119834.76293453228</c:v>
                </c:pt>
                <c:pt idx="2">
                  <c:v>189131.4571302851</c:v>
                </c:pt>
                <c:pt idx="3">
                  <c:v>264681.0264783625</c:v>
                </c:pt>
                <c:pt idx="4">
                  <c:v>346483.47097876424</c:v>
                </c:pt>
              </c:numCache>
            </c:numRef>
          </c:val>
          <c:extLst>
            <c:ext xmlns:c16="http://schemas.microsoft.com/office/drawing/2014/chart" uri="{C3380CC4-5D6E-409C-BE32-E72D297353CC}">
              <c16:uniqueId val="{00000000-8518-463E-A378-DFB4A8AA5E70}"/>
            </c:ext>
          </c:extLst>
        </c:ser>
        <c:dLbls>
          <c:showLegendKey val="0"/>
          <c:showVal val="0"/>
          <c:showCatName val="0"/>
          <c:showSerName val="0"/>
          <c:showPercent val="0"/>
          <c:showBubbleSize val="0"/>
        </c:dLbls>
        <c:gapWidth val="219"/>
        <c:overlap val="-27"/>
        <c:axId val="739497432"/>
        <c:axId val="739500672"/>
      </c:barChart>
      <c:catAx>
        <c:axId val="739497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739500672"/>
        <c:crosses val="autoZero"/>
        <c:auto val="1"/>
        <c:lblAlgn val="ctr"/>
        <c:lblOffset val="100"/>
        <c:noMultiLvlLbl val="0"/>
      </c:catAx>
      <c:valAx>
        <c:axId val="73950067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739497432"/>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AR"/>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AR"/>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AR"/>
              <a:t>Cantidad</a:t>
            </a:r>
            <a:r>
              <a:rPr lang="es-AR" baseline="0"/>
              <a:t> de metros cuadrados anules periodo 2024 - 2028</a:t>
            </a:r>
            <a:endParaRPr lang="es-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AR"/>
        </a:p>
      </c:txPr>
    </c:title>
    <c:autoTitleDeleted val="0"/>
    <c:plotArea>
      <c:layout/>
      <c:barChart>
        <c:barDir val="col"/>
        <c:grouping val="clustered"/>
        <c:varyColors val="0"/>
        <c:ser>
          <c:idx val="0"/>
          <c:order val="0"/>
          <c:spPr>
            <a:solidFill>
              <a:schemeClr val="accent1"/>
            </a:solidFill>
            <a:ln>
              <a:noFill/>
            </a:ln>
            <a:effectLst/>
          </c:spPr>
          <c:invertIfNegative val="0"/>
          <c:cat>
            <c:numRef>
              <c:extLst>
                <c:ext xmlns:c15="http://schemas.microsoft.com/office/drawing/2012/chart" uri="{02D57815-91ED-43cb-92C2-25804820EDAC}">
                  <c15:fullRef>
                    <c15:sqref>'1.5 - Proyeccion demanda'!$B$5:$B$64</c15:sqref>
                  </c15:fullRef>
                </c:ext>
              </c:extLst>
              <c:f>('1.5 - Proyeccion demanda'!$B$5,'1.5 - Proyeccion demanda'!$B$17,'1.5 - Proyeccion demanda'!$B$29,'1.5 - Proyeccion demanda'!$B$41,'1.5 - Proyeccion demanda'!$B$53)</c:f>
              <c:numCache>
                <c:formatCode>General</c:formatCode>
                <c:ptCount val="5"/>
                <c:pt idx="0">
                  <c:v>2024</c:v>
                </c:pt>
                <c:pt idx="1">
                  <c:v>2025</c:v>
                </c:pt>
                <c:pt idx="2">
                  <c:v>2026</c:v>
                </c:pt>
                <c:pt idx="3">
                  <c:v>2027</c:v>
                </c:pt>
                <c:pt idx="4">
                  <c:v>2028</c:v>
                </c:pt>
              </c:numCache>
            </c:numRef>
          </c:cat>
          <c:val>
            <c:numRef>
              <c:extLst>
                <c:ext xmlns:c15="http://schemas.microsoft.com/office/drawing/2012/chart" uri="{02D57815-91ED-43cb-92C2-25804820EDAC}">
                  <c15:fullRef>
                    <c15:sqref>'1.5 - Proyeccion demanda'!$Q$5:$Q$64</c15:sqref>
                  </c15:fullRef>
                </c:ext>
              </c:extLst>
              <c:f>('1.5 - Proyeccion demanda'!$Q$5,'1.5 - Proyeccion demanda'!$Q$17,'1.5 - Proyeccion demanda'!$Q$29,'1.5 - Proyeccion demanda'!$Q$41,'1.5 - Proyeccion demanda'!$Q$53)</c:f>
              <c:numCache>
                <c:formatCode>#,##0</c:formatCode>
                <c:ptCount val="5"/>
                <c:pt idx="0">
                  <c:v>2846.0279938539579</c:v>
                </c:pt>
                <c:pt idx="1">
                  <c:v>11983.476293453226</c:v>
                </c:pt>
                <c:pt idx="2">
                  <c:v>18913.145713028513</c:v>
                </c:pt>
                <c:pt idx="3">
                  <c:v>26468.102647836244</c:v>
                </c:pt>
                <c:pt idx="4">
                  <c:v>34648.347097876424</c:v>
                </c:pt>
              </c:numCache>
            </c:numRef>
          </c:val>
          <c:extLst>
            <c:ext xmlns:c16="http://schemas.microsoft.com/office/drawing/2014/chart" uri="{C3380CC4-5D6E-409C-BE32-E72D297353CC}">
              <c16:uniqueId val="{00000000-4A3E-4C7D-9D77-3F59BBA5FE5B}"/>
            </c:ext>
          </c:extLst>
        </c:ser>
        <c:dLbls>
          <c:showLegendKey val="0"/>
          <c:showVal val="0"/>
          <c:showCatName val="0"/>
          <c:showSerName val="0"/>
          <c:showPercent val="0"/>
          <c:showBubbleSize val="0"/>
        </c:dLbls>
        <c:gapWidth val="219"/>
        <c:overlap val="-27"/>
        <c:axId val="739614072"/>
        <c:axId val="739611912"/>
      </c:barChart>
      <c:catAx>
        <c:axId val="739614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739611912"/>
        <c:crosses val="autoZero"/>
        <c:auto val="1"/>
        <c:lblAlgn val="ctr"/>
        <c:lblOffset val="100"/>
        <c:noMultiLvlLbl val="0"/>
      </c:catAx>
      <c:valAx>
        <c:axId val="73961191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739614072"/>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AR"/>
          </a:p>
        </c:txPr>
      </c:dTable>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AR"/>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AR"/>
        </a:p>
      </c:txPr>
    </c:title>
    <c:autoTitleDeleted val="0"/>
    <c:plotArea>
      <c:layout/>
      <c:barChart>
        <c:barDir val="col"/>
        <c:grouping val="clustered"/>
        <c:varyColors val="0"/>
        <c:ser>
          <c:idx val="0"/>
          <c:order val="0"/>
          <c:tx>
            <c:strRef>
              <c:f>'3.4 - Plan de fabricacion'!$B$13</c:f>
              <c:strCache>
                <c:ptCount val="1"/>
                <c:pt idx="0">
                  <c:v>Capacidad utilizada</c:v>
                </c:pt>
              </c:strCache>
            </c:strRef>
          </c:tx>
          <c:spPr>
            <a:solidFill>
              <a:schemeClr val="accent1"/>
            </a:solidFill>
            <a:ln>
              <a:noFill/>
            </a:ln>
            <a:effectLst/>
          </c:spPr>
          <c:invertIfNegative val="0"/>
          <c:val>
            <c:numRef>
              <c:f>'3.4 - Plan de fabricacion'!$C$13:$BO$13</c:f>
              <c:numCache>
                <c:formatCode>0%</c:formatCode>
                <c:ptCount val="5"/>
                <c:pt idx="0">
                  <c:v>0.82499999999999984</c:v>
                </c:pt>
                <c:pt idx="1">
                  <c:v>0.86999999999999977</c:v>
                </c:pt>
                <c:pt idx="2">
                  <c:v>0.86999999999999977</c:v>
                </c:pt>
                <c:pt idx="3">
                  <c:v>0.90000000000000024</c:v>
                </c:pt>
                <c:pt idx="4">
                  <c:v>0.90000000000000024</c:v>
                </c:pt>
              </c:numCache>
            </c:numRef>
          </c:val>
          <c:extLst>
            <c:ext xmlns:c16="http://schemas.microsoft.com/office/drawing/2014/chart" uri="{C3380CC4-5D6E-409C-BE32-E72D297353CC}">
              <c16:uniqueId val="{00000000-50F2-49F0-BDD9-FA31503EA77B}"/>
            </c:ext>
          </c:extLst>
        </c:ser>
        <c:dLbls>
          <c:showLegendKey val="0"/>
          <c:showVal val="0"/>
          <c:showCatName val="0"/>
          <c:showSerName val="0"/>
          <c:showPercent val="0"/>
          <c:showBubbleSize val="0"/>
        </c:dLbls>
        <c:gapWidth val="219"/>
        <c:overlap val="-27"/>
        <c:axId val="792326136"/>
        <c:axId val="792327576"/>
      </c:barChart>
      <c:catAx>
        <c:axId val="792326136"/>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792327576"/>
        <c:crosses val="autoZero"/>
        <c:auto val="1"/>
        <c:lblAlgn val="ctr"/>
        <c:lblOffset val="100"/>
        <c:noMultiLvlLbl val="0"/>
      </c:catAx>
      <c:valAx>
        <c:axId val="792327576"/>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792326136"/>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AR"/>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AR"/>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AR"/>
              <a:t>Demanda de alivianadores Vs Capacidad </a:t>
            </a:r>
            <a:r>
              <a:rPr lang="es-AR" baseline="0"/>
              <a:t> de fabricacion</a:t>
            </a:r>
            <a:endParaRPr lang="es-AR"/>
          </a:p>
        </c:rich>
      </c:tx>
      <c:layout>
        <c:manualLayout>
          <c:xMode val="edge"/>
          <c:yMode val="edge"/>
          <c:x val="0.23868474849057958"/>
          <c:y val="3.679654228397152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AR"/>
        </a:p>
      </c:txPr>
    </c:title>
    <c:autoTitleDeleted val="0"/>
    <c:plotArea>
      <c:layout/>
      <c:lineChart>
        <c:grouping val="standard"/>
        <c:varyColors val="0"/>
        <c:ser>
          <c:idx val="0"/>
          <c:order val="0"/>
          <c:tx>
            <c:strRef>
              <c:f>'3.4 - Plan de fabricacion'!$B$11</c:f>
              <c:strCache>
                <c:ptCount val="1"/>
                <c:pt idx="0">
                  <c:v>Demanda</c:v>
                </c:pt>
              </c:strCache>
            </c:strRef>
          </c:tx>
          <c:spPr>
            <a:ln w="28575" cap="rnd">
              <a:solidFill>
                <a:schemeClr val="accent1"/>
              </a:solidFill>
              <a:round/>
            </a:ln>
            <a:effectLst/>
          </c:spPr>
          <c:marker>
            <c:symbol val="none"/>
          </c:marker>
          <c:val>
            <c:numRef>
              <c:f>'3.4 - Plan de fabricacion'!$C$11:$BO$11</c:f>
              <c:numCache>
                <c:formatCode>#,##0</c:formatCode>
                <c:ptCount val="5"/>
                <c:pt idx="0">
                  <c:v>28460.279938539581</c:v>
                </c:pt>
                <c:pt idx="1">
                  <c:v>119834.76293453228</c:v>
                </c:pt>
                <c:pt idx="2">
                  <c:v>189131.4571302851</c:v>
                </c:pt>
                <c:pt idx="3">
                  <c:v>264681.0264783625</c:v>
                </c:pt>
                <c:pt idx="4">
                  <c:v>346483.47097876424</c:v>
                </c:pt>
              </c:numCache>
            </c:numRef>
          </c:val>
          <c:smooth val="0"/>
          <c:extLst>
            <c:ext xmlns:c16="http://schemas.microsoft.com/office/drawing/2014/chart" uri="{C3380CC4-5D6E-409C-BE32-E72D297353CC}">
              <c16:uniqueId val="{00000000-2684-4D5D-89D1-3BDA2B2EA0C1}"/>
            </c:ext>
          </c:extLst>
        </c:ser>
        <c:ser>
          <c:idx val="1"/>
          <c:order val="1"/>
          <c:tx>
            <c:strRef>
              <c:f>'3.4 - Plan de fabricacion'!$B$12</c:f>
              <c:strCache>
                <c:ptCount val="1"/>
                <c:pt idx="0">
                  <c:v>Capacidad de fabricacion</c:v>
                </c:pt>
              </c:strCache>
            </c:strRef>
          </c:tx>
          <c:spPr>
            <a:ln w="28575" cap="rnd">
              <a:solidFill>
                <a:schemeClr val="accent2"/>
              </a:solidFill>
              <a:round/>
            </a:ln>
            <a:effectLst/>
          </c:spPr>
          <c:marker>
            <c:symbol val="none"/>
          </c:marker>
          <c:val>
            <c:numRef>
              <c:f>'3.4 - Plan de fabricacion'!$C$12:$BO$12</c:f>
              <c:numCache>
                <c:formatCode>#,##0</c:formatCode>
                <c:ptCount val="5"/>
                <c:pt idx="0">
                  <c:v>53504</c:v>
                </c:pt>
                <c:pt idx="1">
                  <c:v>128000</c:v>
                </c:pt>
                <c:pt idx="2">
                  <c:v>256000</c:v>
                </c:pt>
                <c:pt idx="3">
                  <c:v>256000</c:v>
                </c:pt>
                <c:pt idx="4">
                  <c:v>384000</c:v>
                </c:pt>
              </c:numCache>
            </c:numRef>
          </c:val>
          <c:smooth val="0"/>
          <c:extLst>
            <c:ext xmlns:c16="http://schemas.microsoft.com/office/drawing/2014/chart" uri="{C3380CC4-5D6E-409C-BE32-E72D297353CC}">
              <c16:uniqueId val="{00000001-2684-4D5D-89D1-3BDA2B2EA0C1}"/>
            </c:ext>
          </c:extLst>
        </c:ser>
        <c:dLbls>
          <c:showLegendKey val="0"/>
          <c:showVal val="0"/>
          <c:showCatName val="0"/>
          <c:showSerName val="0"/>
          <c:showPercent val="0"/>
          <c:showBubbleSize val="0"/>
        </c:dLbls>
        <c:smooth val="0"/>
        <c:axId val="791999448"/>
        <c:axId val="792004848"/>
      </c:lineChart>
      <c:catAx>
        <c:axId val="7919994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792004848"/>
        <c:crosses val="autoZero"/>
        <c:auto val="1"/>
        <c:lblAlgn val="ctr"/>
        <c:lblOffset val="100"/>
        <c:noMultiLvlLbl val="0"/>
      </c:catAx>
      <c:valAx>
        <c:axId val="79200484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7919994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AR"/>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a:t>
            </a:r>
            <a:r>
              <a:rPr lang="en-US" baseline="0"/>
              <a:t> Inventario por año</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'3.4 - Plan de fabricacion'!$B$16</c:f>
              <c:strCache>
                <c:ptCount val="1"/>
                <c:pt idx="0">
                  <c:v>Acumulado</c:v>
                </c:pt>
              </c:strCache>
            </c:strRef>
          </c:tx>
          <c:spPr>
            <a:solidFill>
              <a:schemeClr val="accent1"/>
            </a:solidFill>
            <a:ln>
              <a:noFill/>
            </a:ln>
            <a:effectLst/>
          </c:spPr>
          <c:invertIfNegative val="0"/>
          <c:val>
            <c:numRef>
              <c:f>'3.4 - Plan de fabricacion'!$C$16:$BO$16</c:f>
              <c:numCache>
                <c:formatCode>#,##0</c:formatCode>
                <c:ptCount val="5"/>
                <c:pt idx="0">
                  <c:v>15955.720061460423</c:v>
                </c:pt>
                <c:pt idx="1">
                  <c:v>7480.957126928135</c:v>
                </c:pt>
                <c:pt idx="2">
                  <c:v>41069.499996643004</c:v>
                </c:pt>
                <c:pt idx="3">
                  <c:v>6788.4735182805598</c:v>
                </c:pt>
                <c:pt idx="4">
                  <c:v>5905.0025395162884</c:v>
                </c:pt>
              </c:numCache>
            </c:numRef>
          </c:val>
          <c:extLst>
            <c:ext xmlns:c16="http://schemas.microsoft.com/office/drawing/2014/chart" uri="{C3380CC4-5D6E-409C-BE32-E72D297353CC}">
              <c16:uniqueId val="{00000000-5995-4902-8C5E-B327903643B5}"/>
            </c:ext>
          </c:extLst>
        </c:ser>
        <c:dLbls>
          <c:showLegendKey val="0"/>
          <c:showVal val="0"/>
          <c:showCatName val="0"/>
          <c:showSerName val="0"/>
          <c:showPercent val="0"/>
          <c:showBubbleSize val="0"/>
        </c:dLbls>
        <c:gapWidth val="219"/>
        <c:overlap val="-27"/>
        <c:axId val="580576984"/>
        <c:axId val="580577344"/>
      </c:barChart>
      <c:catAx>
        <c:axId val="5805769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580577344"/>
        <c:crosses val="autoZero"/>
        <c:auto val="1"/>
        <c:lblAlgn val="ctr"/>
        <c:lblOffset val="100"/>
        <c:noMultiLvlLbl val="0"/>
      </c:catAx>
      <c:valAx>
        <c:axId val="5805773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580576984"/>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AR"/>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AR"/>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AR"/>
              <a:t>Demanda de alivianadores</a:t>
            </a:r>
            <a:r>
              <a:rPr lang="es-AR" baseline="0"/>
              <a:t> Vs Capacidad utilizada</a:t>
            </a:r>
            <a:endParaRPr lang="es-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AR"/>
        </a:p>
      </c:txPr>
    </c:title>
    <c:autoTitleDeleted val="0"/>
    <c:plotArea>
      <c:layout/>
      <c:barChart>
        <c:barDir val="col"/>
        <c:grouping val="clustered"/>
        <c:varyColors val="0"/>
        <c:ser>
          <c:idx val="0"/>
          <c:order val="0"/>
          <c:tx>
            <c:strRef>
              <c:f>'3.4 - Plan de fabricacion'!$B$11</c:f>
              <c:strCache>
                <c:ptCount val="1"/>
                <c:pt idx="0">
                  <c:v>Demanda</c:v>
                </c:pt>
              </c:strCache>
            </c:strRef>
          </c:tx>
          <c:spPr>
            <a:solidFill>
              <a:schemeClr val="accent1"/>
            </a:solidFill>
            <a:ln>
              <a:noFill/>
            </a:ln>
            <a:effectLst/>
          </c:spPr>
          <c:invertIfNegative val="0"/>
          <c:val>
            <c:numRef>
              <c:f>'3.4 - Plan de fabricacion'!$C$11:$BO$11</c:f>
              <c:numCache>
                <c:formatCode>#,##0</c:formatCode>
                <c:ptCount val="5"/>
                <c:pt idx="0">
                  <c:v>28460.279938539581</c:v>
                </c:pt>
                <c:pt idx="1">
                  <c:v>119834.76293453228</c:v>
                </c:pt>
                <c:pt idx="2">
                  <c:v>189131.4571302851</c:v>
                </c:pt>
                <c:pt idx="3">
                  <c:v>264681.0264783625</c:v>
                </c:pt>
                <c:pt idx="4">
                  <c:v>346483.47097876424</c:v>
                </c:pt>
              </c:numCache>
            </c:numRef>
          </c:val>
          <c:extLst>
            <c:ext xmlns:c16="http://schemas.microsoft.com/office/drawing/2014/chart" uri="{C3380CC4-5D6E-409C-BE32-E72D297353CC}">
              <c16:uniqueId val="{00000000-A98E-49C3-9A7D-FC577777DD73}"/>
            </c:ext>
          </c:extLst>
        </c:ser>
        <c:ser>
          <c:idx val="1"/>
          <c:order val="1"/>
          <c:tx>
            <c:strRef>
              <c:f>'3.4 - Plan de fabricacion'!$B$14</c:f>
              <c:strCache>
                <c:ptCount val="1"/>
                <c:pt idx="0">
                  <c:v>Fabricacion</c:v>
                </c:pt>
              </c:strCache>
            </c:strRef>
          </c:tx>
          <c:spPr>
            <a:solidFill>
              <a:schemeClr val="accent2"/>
            </a:solidFill>
            <a:ln>
              <a:noFill/>
            </a:ln>
            <a:effectLst/>
          </c:spPr>
          <c:invertIfNegative val="0"/>
          <c:val>
            <c:numRef>
              <c:f>'3.4 - Plan de fabricacion'!$C$14:$BO$14</c:f>
              <c:numCache>
                <c:formatCode>#,##0</c:formatCode>
                <c:ptCount val="5"/>
                <c:pt idx="0">
                  <c:v>44416</c:v>
                </c:pt>
                <c:pt idx="1">
                  <c:v>111360.00000000003</c:v>
                </c:pt>
                <c:pt idx="2">
                  <c:v>222720.00000000006</c:v>
                </c:pt>
                <c:pt idx="3">
                  <c:v>230400.00000000006</c:v>
                </c:pt>
                <c:pt idx="4">
                  <c:v>345600</c:v>
                </c:pt>
              </c:numCache>
            </c:numRef>
          </c:val>
          <c:extLst>
            <c:ext xmlns:c16="http://schemas.microsoft.com/office/drawing/2014/chart" uri="{C3380CC4-5D6E-409C-BE32-E72D297353CC}">
              <c16:uniqueId val="{00000001-A98E-49C3-9A7D-FC577777DD73}"/>
            </c:ext>
          </c:extLst>
        </c:ser>
        <c:dLbls>
          <c:showLegendKey val="0"/>
          <c:showVal val="0"/>
          <c:showCatName val="0"/>
          <c:showSerName val="0"/>
          <c:showPercent val="0"/>
          <c:showBubbleSize val="0"/>
        </c:dLbls>
        <c:gapWidth val="219"/>
        <c:overlap val="-27"/>
        <c:axId val="136985168"/>
        <c:axId val="136985648"/>
      </c:barChart>
      <c:catAx>
        <c:axId val="1369851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136985648"/>
        <c:crosses val="autoZero"/>
        <c:auto val="1"/>
        <c:lblAlgn val="ctr"/>
        <c:lblOffset val="100"/>
        <c:noMultiLvlLbl val="0"/>
      </c:catAx>
      <c:valAx>
        <c:axId val="13698564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136985168"/>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AR"/>
          </a:p>
        </c:txPr>
      </c:dTable>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AR"/>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AR"/>
        </a:p>
      </c:txPr>
    </c:title>
    <c:autoTitleDeleted val="0"/>
    <c:plotArea>
      <c:layout/>
      <c:lineChart>
        <c:grouping val="standard"/>
        <c:varyColors val="0"/>
        <c:ser>
          <c:idx val="0"/>
          <c:order val="0"/>
          <c:tx>
            <c:strRef>
              <c:f>'3.12 - Punto de equilibrio'!$B$9</c:f>
              <c:strCache>
                <c:ptCount val="1"/>
                <c:pt idx="0">
                  <c:v>Punto de equilibrio [u]</c:v>
                </c:pt>
              </c:strCache>
            </c:strRef>
          </c:tx>
          <c:spPr>
            <a:ln w="28575" cap="rnd">
              <a:solidFill>
                <a:schemeClr val="accent1"/>
              </a:solidFill>
              <a:round/>
            </a:ln>
            <a:effectLst/>
          </c:spPr>
          <c:marker>
            <c:symbol val="none"/>
          </c:marker>
          <c:cat>
            <c:numRef>
              <c:f>'3.12 - Punto de equilibrio'!$C$5:$G$5</c:f>
              <c:numCache>
                <c:formatCode>General</c:formatCode>
                <c:ptCount val="5"/>
                <c:pt idx="0">
                  <c:v>2024</c:v>
                </c:pt>
                <c:pt idx="1">
                  <c:v>2025</c:v>
                </c:pt>
                <c:pt idx="2">
                  <c:v>2026</c:v>
                </c:pt>
                <c:pt idx="3">
                  <c:v>2027</c:v>
                </c:pt>
                <c:pt idx="4">
                  <c:v>2028</c:v>
                </c:pt>
              </c:numCache>
            </c:numRef>
          </c:cat>
          <c:val>
            <c:numRef>
              <c:f>'3.12 - Punto de equilibrio'!$C$9:$G$9</c:f>
              <c:numCache>
                <c:formatCode>#,##0</c:formatCode>
                <c:ptCount val="5"/>
                <c:pt idx="0">
                  <c:v>213740.86305492898</c:v>
                </c:pt>
                <c:pt idx="1">
                  <c:v>96158.714112680755</c:v>
                </c:pt>
                <c:pt idx="2">
                  <c:v>105698.87108759562</c:v>
                </c:pt>
                <c:pt idx="3">
                  <c:v>99072.380867144602</c:v>
                </c:pt>
                <c:pt idx="4">
                  <c:v>98816.895546077838</c:v>
                </c:pt>
              </c:numCache>
            </c:numRef>
          </c:val>
          <c:smooth val="0"/>
          <c:extLst>
            <c:ext xmlns:c16="http://schemas.microsoft.com/office/drawing/2014/chart" uri="{C3380CC4-5D6E-409C-BE32-E72D297353CC}">
              <c16:uniqueId val="{00000000-78AF-44FE-8D5A-09F58FC54BDC}"/>
            </c:ext>
          </c:extLst>
        </c:ser>
        <c:ser>
          <c:idx val="1"/>
          <c:order val="1"/>
          <c:tx>
            <c:strRef>
              <c:f>'3.12 - Punto de equilibrio'!$B$10</c:f>
              <c:strCache>
                <c:ptCount val="1"/>
                <c:pt idx="0">
                  <c:v>Cantidad planificada [u]</c:v>
                </c:pt>
              </c:strCache>
            </c:strRef>
          </c:tx>
          <c:spPr>
            <a:ln w="28575" cap="rnd">
              <a:solidFill>
                <a:schemeClr val="accent2"/>
              </a:solidFill>
              <a:round/>
            </a:ln>
            <a:effectLst/>
          </c:spPr>
          <c:marker>
            <c:symbol val="none"/>
          </c:marker>
          <c:cat>
            <c:numRef>
              <c:f>'3.12 - Punto de equilibrio'!$C$5:$G$5</c:f>
              <c:numCache>
                <c:formatCode>General</c:formatCode>
                <c:ptCount val="5"/>
                <c:pt idx="0">
                  <c:v>2024</c:v>
                </c:pt>
                <c:pt idx="1">
                  <c:v>2025</c:v>
                </c:pt>
                <c:pt idx="2">
                  <c:v>2026</c:v>
                </c:pt>
                <c:pt idx="3">
                  <c:v>2027</c:v>
                </c:pt>
                <c:pt idx="4">
                  <c:v>2028</c:v>
                </c:pt>
              </c:numCache>
            </c:numRef>
          </c:cat>
          <c:val>
            <c:numRef>
              <c:f>'3.12 - Punto de equilibrio'!$C$10:$G$10</c:f>
              <c:numCache>
                <c:formatCode>#,##0</c:formatCode>
                <c:ptCount val="5"/>
                <c:pt idx="0">
                  <c:v>28460.279938539581</c:v>
                </c:pt>
                <c:pt idx="1">
                  <c:v>119834.76293453228</c:v>
                </c:pt>
                <c:pt idx="2">
                  <c:v>189131.4571302851</c:v>
                </c:pt>
                <c:pt idx="3">
                  <c:v>264681.0264783625</c:v>
                </c:pt>
                <c:pt idx="4">
                  <c:v>346483.47097876424</c:v>
                </c:pt>
              </c:numCache>
            </c:numRef>
          </c:val>
          <c:smooth val="0"/>
          <c:extLst>
            <c:ext xmlns:c16="http://schemas.microsoft.com/office/drawing/2014/chart" uri="{C3380CC4-5D6E-409C-BE32-E72D297353CC}">
              <c16:uniqueId val="{00000001-78AF-44FE-8D5A-09F58FC54BDC}"/>
            </c:ext>
          </c:extLst>
        </c:ser>
        <c:dLbls>
          <c:showLegendKey val="0"/>
          <c:showVal val="0"/>
          <c:showCatName val="0"/>
          <c:showSerName val="0"/>
          <c:showPercent val="0"/>
          <c:showBubbleSize val="0"/>
        </c:dLbls>
        <c:smooth val="0"/>
        <c:axId val="558773807"/>
        <c:axId val="558802127"/>
      </c:lineChart>
      <c:catAx>
        <c:axId val="55877380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558802127"/>
        <c:crosses val="autoZero"/>
        <c:auto val="1"/>
        <c:lblAlgn val="ctr"/>
        <c:lblOffset val="100"/>
        <c:noMultiLvlLbl val="0"/>
      </c:catAx>
      <c:valAx>
        <c:axId val="55880212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55877380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A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Total empresas constructoras A+B inscriptas en el IERIC 2021-2023</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AR"/>
        </a:p>
      </c:txPr>
    </c:title>
    <c:autoTitleDeleted val="0"/>
    <c:plotArea>
      <c:layout/>
      <c:lineChart>
        <c:grouping val="standard"/>
        <c:varyColors val="0"/>
        <c:ser>
          <c:idx val="0"/>
          <c:order val="0"/>
          <c:spPr>
            <a:ln w="28575" cap="rnd">
              <a:solidFill>
                <a:schemeClr val="accent1"/>
              </a:solidFill>
              <a:round/>
            </a:ln>
            <a:effectLst/>
          </c:spPr>
          <c:marker>
            <c:symbol val="none"/>
          </c:marker>
          <c:trendline>
            <c:spPr>
              <a:ln w="19050" cap="rnd">
                <a:solidFill>
                  <a:srgbClr val="FF0000"/>
                </a:solidFill>
                <a:prstDash val="solid"/>
              </a:ln>
              <a:effectLst/>
            </c:spPr>
            <c:trendlineType val="linear"/>
            <c:dispRSqr val="0"/>
            <c:dispEq val="0"/>
          </c:trendline>
          <c:cat>
            <c:multiLvlStrRef>
              <c:f>'1.1 - Empresas constructoras'!$B$41:$C$76</c:f>
              <c:multiLvlStrCache>
                <c:ptCount val="36"/>
                <c:lvl>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pt idx="12">
                    <c:v>Enero</c:v>
                  </c:pt>
                  <c:pt idx="13">
                    <c:v>Febrero</c:v>
                  </c:pt>
                  <c:pt idx="14">
                    <c:v>Marzo</c:v>
                  </c:pt>
                  <c:pt idx="15">
                    <c:v>Abril</c:v>
                  </c:pt>
                  <c:pt idx="16">
                    <c:v>Mayo</c:v>
                  </c:pt>
                  <c:pt idx="17">
                    <c:v>Junio</c:v>
                  </c:pt>
                  <c:pt idx="18">
                    <c:v>Julio</c:v>
                  </c:pt>
                  <c:pt idx="19">
                    <c:v>Agosto</c:v>
                  </c:pt>
                  <c:pt idx="20">
                    <c:v>Septiembre</c:v>
                  </c:pt>
                  <c:pt idx="21">
                    <c:v>Octubre</c:v>
                  </c:pt>
                  <c:pt idx="22">
                    <c:v>Noviembre</c:v>
                  </c:pt>
                  <c:pt idx="23">
                    <c:v>Diciembre</c:v>
                  </c:pt>
                  <c:pt idx="24">
                    <c:v>Enero</c:v>
                  </c:pt>
                  <c:pt idx="25">
                    <c:v>Febrero</c:v>
                  </c:pt>
                  <c:pt idx="26">
                    <c:v>Marzo</c:v>
                  </c:pt>
                  <c:pt idx="27">
                    <c:v>Abril</c:v>
                  </c:pt>
                  <c:pt idx="28">
                    <c:v>Mayo</c:v>
                  </c:pt>
                  <c:pt idx="29">
                    <c:v>Junio</c:v>
                  </c:pt>
                  <c:pt idx="30">
                    <c:v>Julio</c:v>
                  </c:pt>
                  <c:pt idx="31">
                    <c:v>Agosto</c:v>
                  </c:pt>
                  <c:pt idx="32">
                    <c:v>Septiembre</c:v>
                  </c:pt>
                  <c:pt idx="33">
                    <c:v>Octubre</c:v>
                  </c:pt>
                  <c:pt idx="34">
                    <c:v>Noviembre</c:v>
                  </c:pt>
                  <c:pt idx="35">
                    <c:v>Diciembre</c:v>
                  </c:pt>
                </c:lvl>
                <c:lvl>
                  <c:pt idx="0">
                    <c:v>2021</c:v>
                  </c:pt>
                  <c:pt idx="12">
                    <c:v>2022</c:v>
                  </c:pt>
                  <c:pt idx="24">
                    <c:v>2023</c:v>
                  </c:pt>
                </c:lvl>
              </c:multiLvlStrCache>
            </c:multiLvlStrRef>
          </c:cat>
          <c:val>
            <c:numRef>
              <c:f>'1.1 - Empresas constructoras'!$D$41:$D$76</c:f>
              <c:numCache>
                <c:formatCode>General</c:formatCode>
                <c:ptCount val="36"/>
                <c:pt idx="0">
                  <c:v>19632</c:v>
                </c:pt>
                <c:pt idx="1">
                  <c:v>19945</c:v>
                </c:pt>
                <c:pt idx="2">
                  <c:v>20514</c:v>
                </c:pt>
                <c:pt idx="3">
                  <c:v>20843</c:v>
                </c:pt>
                <c:pt idx="4">
                  <c:v>17149</c:v>
                </c:pt>
                <c:pt idx="5">
                  <c:v>17883</c:v>
                </c:pt>
                <c:pt idx="6">
                  <c:v>18450</c:v>
                </c:pt>
                <c:pt idx="7">
                  <c:v>18985</c:v>
                </c:pt>
                <c:pt idx="8">
                  <c:v>19641</c:v>
                </c:pt>
                <c:pt idx="9">
                  <c:v>20125</c:v>
                </c:pt>
                <c:pt idx="10">
                  <c:v>20580</c:v>
                </c:pt>
                <c:pt idx="11">
                  <c:v>20840</c:v>
                </c:pt>
                <c:pt idx="12">
                  <c:v>21105</c:v>
                </c:pt>
                <c:pt idx="13">
                  <c:v>21335</c:v>
                </c:pt>
                <c:pt idx="14">
                  <c:v>21592</c:v>
                </c:pt>
                <c:pt idx="15">
                  <c:v>21849</c:v>
                </c:pt>
                <c:pt idx="16">
                  <c:v>17574</c:v>
                </c:pt>
                <c:pt idx="17">
                  <c:v>18398</c:v>
                </c:pt>
                <c:pt idx="18">
                  <c:v>19007</c:v>
                </c:pt>
                <c:pt idx="19">
                  <c:v>19575</c:v>
                </c:pt>
                <c:pt idx="20">
                  <c:v>20097</c:v>
                </c:pt>
                <c:pt idx="21">
                  <c:v>20519</c:v>
                </c:pt>
                <c:pt idx="22">
                  <c:v>20923</c:v>
                </c:pt>
                <c:pt idx="23">
                  <c:v>21109</c:v>
                </c:pt>
                <c:pt idx="24">
                  <c:v>21458</c:v>
                </c:pt>
                <c:pt idx="25">
                  <c:v>21658</c:v>
                </c:pt>
                <c:pt idx="26">
                  <c:v>22081</c:v>
                </c:pt>
                <c:pt idx="27">
                  <c:v>22238</c:v>
                </c:pt>
                <c:pt idx="28">
                  <c:v>18232</c:v>
                </c:pt>
                <c:pt idx="29">
                  <c:v>18896</c:v>
                </c:pt>
                <c:pt idx="30">
                  <c:v>19456</c:v>
                </c:pt>
                <c:pt idx="31">
                  <c:v>19986</c:v>
                </c:pt>
                <c:pt idx="32">
                  <c:v>20405</c:v>
                </c:pt>
                <c:pt idx="33">
                  <c:v>20768</c:v>
                </c:pt>
                <c:pt idx="34">
                  <c:v>21006</c:v>
                </c:pt>
                <c:pt idx="35">
                  <c:v>21172</c:v>
                </c:pt>
              </c:numCache>
            </c:numRef>
          </c:val>
          <c:smooth val="0"/>
          <c:extLst>
            <c:ext xmlns:c16="http://schemas.microsoft.com/office/drawing/2014/chart" uri="{C3380CC4-5D6E-409C-BE32-E72D297353CC}">
              <c16:uniqueId val="{00000000-1A61-42D3-A08E-1463BEC19A72}"/>
            </c:ext>
          </c:extLst>
        </c:ser>
        <c:dLbls>
          <c:showLegendKey val="0"/>
          <c:showVal val="0"/>
          <c:showCatName val="0"/>
          <c:showSerName val="0"/>
          <c:showPercent val="0"/>
          <c:showBubbleSize val="0"/>
        </c:dLbls>
        <c:smooth val="0"/>
        <c:axId val="798363480"/>
        <c:axId val="798358800"/>
      </c:lineChart>
      <c:catAx>
        <c:axId val="7983634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798358800"/>
        <c:crosses val="autoZero"/>
        <c:auto val="1"/>
        <c:lblAlgn val="ctr"/>
        <c:lblOffset val="100"/>
        <c:noMultiLvlLbl val="0"/>
      </c:catAx>
      <c:valAx>
        <c:axId val="798358800"/>
        <c:scaling>
          <c:orientation val="minMax"/>
          <c:min val="100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79836348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AR"/>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1"/>
              <a:t>Montos anuales</a:t>
            </a:r>
            <a:r>
              <a:rPr lang="en-US" sz="1800" b="1" baseline="0"/>
              <a:t> de pago de cuota de prestamo periodo 2024 - 2028</a:t>
            </a:r>
            <a:endParaRPr lang="en-US" sz="1800" b="1"/>
          </a:p>
        </c:rich>
      </c:tx>
      <c:layout>
        <c:manualLayout>
          <c:xMode val="edge"/>
          <c:yMode val="edge"/>
          <c:x val="0.21272222222222223"/>
          <c:y val="3.240740740740740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'4.3 - Financiación'!$L$39</c:f>
              <c:strCache>
                <c:ptCount val="1"/>
                <c:pt idx="0">
                  <c:v>Total anual</c:v>
                </c:pt>
              </c:strCache>
            </c:strRef>
          </c:tx>
          <c:spPr>
            <a:solidFill>
              <a:schemeClr val="accent1"/>
            </a:solidFill>
            <a:ln>
              <a:noFill/>
            </a:ln>
            <a:effectLst/>
          </c:spPr>
          <c:invertIfNegative val="0"/>
          <c:cat>
            <c:numRef>
              <c:f>'4.3 - Financiación'!$K$40:$K$44</c:f>
              <c:numCache>
                <c:formatCode>General</c:formatCode>
                <c:ptCount val="5"/>
                <c:pt idx="0">
                  <c:v>2024</c:v>
                </c:pt>
                <c:pt idx="1">
                  <c:v>2025</c:v>
                </c:pt>
                <c:pt idx="2">
                  <c:v>2026</c:v>
                </c:pt>
                <c:pt idx="3">
                  <c:v>2027</c:v>
                </c:pt>
                <c:pt idx="4">
                  <c:v>2028</c:v>
                </c:pt>
              </c:numCache>
            </c:numRef>
          </c:cat>
          <c:val>
            <c:numRef>
              <c:f>'4.3 - Financiación'!$L$40:$L$44</c:f>
              <c:numCache>
                <c:formatCode>_-"$"\ * #,##0_-;\-"$"\ * #,##0_-;_-"$"\ * "-"??_-;_-@_-</c:formatCode>
                <c:ptCount val="5"/>
                <c:pt idx="0">
                  <c:v>393254.28</c:v>
                </c:pt>
                <c:pt idx="1">
                  <c:v>60566.879999999983</c:v>
                </c:pt>
                <c:pt idx="2">
                  <c:v>60566.879999999983</c:v>
                </c:pt>
                <c:pt idx="3">
                  <c:v>60566.879999999983</c:v>
                </c:pt>
                <c:pt idx="4">
                  <c:v>0</c:v>
                </c:pt>
              </c:numCache>
            </c:numRef>
          </c:val>
          <c:extLst>
            <c:ext xmlns:c16="http://schemas.microsoft.com/office/drawing/2014/chart" uri="{C3380CC4-5D6E-409C-BE32-E72D297353CC}">
              <c16:uniqueId val="{00000000-185A-42D1-A1DC-E0856E7127B8}"/>
            </c:ext>
          </c:extLst>
        </c:ser>
        <c:dLbls>
          <c:showLegendKey val="0"/>
          <c:showVal val="0"/>
          <c:showCatName val="0"/>
          <c:showSerName val="0"/>
          <c:showPercent val="0"/>
          <c:showBubbleSize val="0"/>
        </c:dLbls>
        <c:gapWidth val="219"/>
        <c:overlap val="-27"/>
        <c:axId val="1518547071"/>
        <c:axId val="1518557631"/>
      </c:barChart>
      <c:catAx>
        <c:axId val="15185470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1518557631"/>
        <c:crosses val="autoZero"/>
        <c:auto val="1"/>
        <c:lblAlgn val="ctr"/>
        <c:lblOffset val="100"/>
        <c:noMultiLvlLbl val="0"/>
      </c:catAx>
      <c:valAx>
        <c:axId val="1518557631"/>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 #,##0_-;\-&quot;$&quot;\ * #,##0_-;_-&quot;$&quot;\ *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151854707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AR"/>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AR"/>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AR"/>
              <a:t>Amortizaciones</a:t>
            </a:r>
            <a:r>
              <a:rPr lang="es-AR" baseline="0"/>
              <a:t> anualizado</a:t>
            </a:r>
            <a:endParaRPr lang="es-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AR"/>
        </a:p>
      </c:txPr>
    </c:title>
    <c:autoTitleDeleted val="0"/>
    <c:plotArea>
      <c:layout/>
      <c:barChart>
        <c:barDir val="col"/>
        <c:grouping val="clustered"/>
        <c:varyColors val="0"/>
        <c:ser>
          <c:idx val="0"/>
          <c:order val="0"/>
          <c:spPr>
            <a:solidFill>
              <a:schemeClr val="accent1"/>
            </a:solidFill>
            <a:ln>
              <a:noFill/>
            </a:ln>
            <a:effectLst/>
          </c:spPr>
          <c:invertIfNegative val="0"/>
          <c:cat>
            <c:multiLvlStrRef>
              <c:f>'4.4 - Amortizaciones'!$H$4:$L$5</c:f>
              <c:multiLvlStrCache>
                <c:ptCount val="5"/>
                <c:lvl>
                  <c:pt idx="0">
                    <c:v>2024</c:v>
                  </c:pt>
                  <c:pt idx="1">
                    <c:v>2025</c:v>
                  </c:pt>
                  <c:pt idx="2">
                    <c:v>2026</c:v>
                  </c:pt>
                  <c:pt idx="3">
                    <c:v>2027</c:v>
                  </c:pt>
                  <c:pt idx="4">
                    <c:v>2028</c:v>
                  </c:pt>
                </c:lvl>
                <c:lvl>
                  <c:pt idx="0">
                    <c:v>AÑO</c:v>
                  </c:pt>
                </c:lvl>
              </c:multiLvlStrCache>
            </c:multiLvlStrRef>
          </c:cat>
          <c:val>
            <c:numRef>
              <c:f>'4.4 - Amortizaciones'!$H$78:$L$78</c:f>
              <c:numCache>
                <c:formatCode>_-"$"\ * #,##0.00_-;\-"$"\ * #,##0.00_-;_-"$"\ * "-"??_-;_-@_-</c:formatCode>
                <c:ptCount val="5"/>
                <c:pt idx="0">
                  <c:v>20878.162111388196</c:v>
                </c:pt>
                <c:pt idx="1">
                  <c:v>20878.162111388196</c:v>
                </c:pt>
                <c:pt idx="2">
                  <c:v>33260.836398058593</c:v>
                </c:pt>
                <c:pt idx="3">
                  <c:v>33260.836398058593</c:v>
                </c:pt>
                <c:pt idx="4">
                  <c:v>33732.996008009664</c:v>
                </c:pt>
              </c:numCache>
            </c:numRef>
          </c:val>
          <c:extLst>
            <c:ext xmlns:c16="http://schemas.microsoft.com/office/drawing/2014/chart" uri="{C3380CC4-5D6E-409C-BE32-E72D297353CC}">
              <c16:uniqueId val="{00000000-58E4-4BCC-AEF3-C680D65DBC8D}"/>
            </c:ext>
          </c:extLst>
        </c:ser>
        <c:dLbls>
          <c:showLegendKey val="0"/>
          <c:showVal val="0"/>
          <c:showCatName val="0"/>
          <c:showSerName val="0"/>
          <c:showPercent val="0"/>
          <c:showBubbleSize val="0"/>
        </c:dLbls>
        <c:gapWidth val="219"/>
        <c:overlap val="-27"/>
        <c:axId val="903436616"/>
        <c:axId val="903432296"/>
      </c:barChart>
      <c:catAx>
        <c:axId val="9034366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903432296"/>
        <c:crosses val="autoZero"/>
        <c:auto val="1"/>
        <c:lblAlgn val="ctr"/>
        <c:lblOffset val="100"/>
        <c:noMultiLvlLbl val="0"/>
      </c:catAx>
      <c:valAx>
        <c:axId val="903432296"/>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 #,##0.00_-;\-&quot;$&quot;\ * #,##0.00_-;_-&quot;$&quot;\ *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903436616"/>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AR"/>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A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Metros cuadrados autorizados para construccion en 176 municipios 2021-2023</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AR"/>
        </a:p>
      </c:txPr>
    </c:title>
    <c:autoTitleDeleted val="0"/>
    <c:plotArea>
      <c:layout/>
      <c:barChart>
        <c:barDir val="col"/>
        <c:grouping val="clustered"/>
        <c:varyColors val="0"/>
        <c:ser>
          <c:idx val="0"/>
          <c:order val="0"/>
          <c:tx>
            <c:strRef>
              <c:f>'1.2 - Superfie autorizadas'!$D$4</c:f>
              <c:strCache>
                <c:ptCount val="1"/>
                <c:pt idx="0">
                  <c:v>Metros cuadrados</c:v>
                </c:pt>
              </c:strCache>
            </c:strRef>
          </c:tx>
          <c:spPr>
            <a:solidFill>
              <a:schemeClr val="accent1"/>
            </a:solidFill>
            <a:ln>
              <a:noFill/>
            </a:ln>
            <a:effectLst/>
          </c:spPr>
          <c:invertIfNegative val="0"/>
          <c:cat>
            <c:multiLvlStrRef>
              <c:f>'1.2 - Superfie autorizadas'!$B$5:$C$40</c:f>
              <c:multiLvlStrCache>
                <c:ptCount val="36"/>
                <c:lvl>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pt idx="12">
                    <c:v>Enero</c:v>
                  </c:pt>
                  <c:pt idx="13">
                    <c:v>Febrero</c:v>
                  </c:pt>
                  <c:pt idx="14">
                    <c:v>Marzo</c:v>
                  </c:pt>
                  <c:pt idx="15">
                    <c:v>Abril</c:v>
                  </c:pt>
                  <c:pt idx="16">
                    <c:v>Mayo</c:v>
                  </c:pt>
                  <c:pt idx="17">
                    <c:v>Junio</c:v>
                  </c:pt>
                  <c:pt idx="18">
                    <c:v>Julio</c:v>
                  </c:pt>
                  <c:pt idx="19">
                    <c:v>Agosto</c:v>
                  </c:pt>
                  <c:pt idx="20">
                    <c:v>Septiembre</c:v>
                  </c:pt>
                  <c:pt idx="21">
                    <c:v>Octubre</c:v>
                  </c:pt>
                  <c:pt idx="22">
                    <c:v>Noviembre</c:v>
                  </c:pt>
                  <c:pt idx="23">
                    <c:v>Diciembre</c:v>
                  </c:pt>
                  <c:pt idx="24">
                    <c:v>Enero</c:v>
                  </c:pt>
                  <c:pt idx="25">
                    <c:v>Febrero</c:v>
                  </c:pt>
                  <c:pt idx="26">
                    <c:v>Marzo</c:v>
                  </c:pt>
                  <c:pt idx="27">
                    <c:v>Abril</c:v>
                  </c:pt>
                  <c:pt idx="28">
                    <c:v>Mayo</c:v>
                  </c:pt>
                  <c:pt idx="29">
                    <c:v>Junio</c:v>
                  </c:pt>
                  <c:pt idx="30">
                    <c:v>Julio</c:v>
                  </c:pt>
                  <c:pt idx="31">
                    <c:v>Agosto</c:v>
                  </c:pt>
                  <c:pt idx="32">
                    <c:v>Septiembre</c:v>
                  </c:pt>
                  <c:pt idx="33">
                    <c:v>Octubre</c:v>
                  </c:pt>
                  <c:pt idx="34">
                    <c:v>Noviembre</c:v>
                  </c:pt>
                  <c:pt idx="35">
                    <c:v>Diciembre</c:v>
                  </c:pt>
                </c:lvl>
                <c:lvl>
                  <c:pt idx="0">
                    <c:v>2021</c:v>
                  </c:pt>
                  <c:pt idx="12">
                    <c:v>2022</c:v>
                  </c:pt>
                  <c:pt idx="24">
                    <c:v>2023</c:v>
                  </c:pt>
                </c:lvl>
              </c:multiLvlStrCache>
            </c:multiLvlStrRef>
          </c:cat>
          <c:val>
            <c:numRef>
              <c:f>'1.2 - Superfie autorizadas'!$D$5:$D$40</c:f>
              <c:numCache>
                <c:formatCode>#,##0</c:formatCode>
                <c:ptCount val="36"/>
                <c:pt idx="0">
                  <c:v>1177000</c:v>
                </c:pt>
                <c:pt idx="1">
                  <c:v>1042073</c:v>
                </c:pt>
                <c:pt idx="2">
                  <c:v>1235951</c:v>
                </c:pt>
                <c:pt idx="3">
                  <c:v>1381623</c:v>
                </c:pt>
                <c:pt idx="4">
                  <c:v>1136418</c:v>
                </c:pt>
                <c:pt idx="5">
                  <c:v>1185724</c:v>
                </c:pt>
                <c:pt idx="6">
                  <c:v>1209356</c:v>
                </c:pt>
                <c:pt idx="7">
                  <c:v>1480981</c:v>
                </c:pt>
                <c:pt idx="8">
                  <c:v>1598974</c:v>
                </c:pt>
                <c:pt idx="9">
                  <c:v>1676241</c:v>
                </c:pt>
                <c:pt idx="10">
                  <c:v>1643055</c:v>
                </c:pt>
                <c:pt idx="11">
                  <c:v>1583533</c:v>
                </c:pt>
                <c:pt idx="12">
                  <c:v>931196</c:v>
                </c:pt>
                <c:pt idx="13">
                  <c:v>1251105</c:v>
                </c:pt>
                <c:pt idx="14">
                  <c:v>1321945</c:v>
                </c:pt>
                <c:pt idx="15">
                  <c:v>1389595</c:v>
                </c:pt>
                <c:pt idx="16">
                  <c:v>1243274</c:v>
                </c:pt>
                <c:pt idx="17">
                  <c:v>1233971</c:v>
                </c:pt>
                <c:pt idx="18">
                  <c:v>1385101</c:v>
                </c:pt>
                <c:pt idx="19">
                  <c:v>1295129</c:v>
                </c:pt>
                <c:pt idx="20">
                  <c:v>1249290</c:v>
                </c:pt>
                <c:pt idx="21">
                  <c:v>1128244.3999999999</c:v>
                </c:pt>
                <c:pt idx="22">
                  <c:v>1335963</c:v>
                </c:pt>
                <c:pt idx="23">
                  <c:v>1089098</c:v>
                </c:pt>
                <c:pt idx="24">
                  <c:v>1081831</c:v>
                </c:pt>
                <c:pt idx="25">
                  <c:v>907332</c:v>
                </c:pt>
                <c:pt idx="26">
                  <c:v>1468718</c:v>
                </c:pt>
                <c:pt idx="27">
                  <c:v>1062273</c:v>
                </c:pt>
                <c:pt idx="28">
                  <c:v>1067063</c:v>
                </c:pt>
                <c:pt idx="29">
                  <c:v>1072665</c:v>
                </c:pt>
                <c:pt idx="30">
                  <c:v>1128557</c:v>
                </c:pt>
                <c:pt idx="31">
                  <c:v>1134941</c:v>
                </c:pt>
                <c:pt idx="32">
                  <c:v>1187329</c:v>
                </c:pt>
                <c:pt idx="33">
                  <c:v>1188781</c:v>
                </c:pt>
                <c:pt idx="34">
                  <c:v>1437600</c:v>
                </c:pt>
                <c:pt idx="35">
                  <c:v>991046</c:v>
                </c:pt>
              </c:numCache>
            </c:numRef>
          </c:val>
          <c:extLst>
            <c:ext xmlns:c16="http://schemas.microsoft.com/office/drawing/2014/chart" uri="{C3380CC4-5D6E-409C-BE32-E72D297353CC}">
              <c16:uniqueId val="{00000000-4DF9-4F64-9D49-C5240C1CF3EF}"/>
            </c:ext>
          </c:extLst>
        </c:ser>
        <c:dLbls>
          <c:showLegendKey val="0"/>
          <c:showVal val="0"/>
          <c:showCatName val="0"/>
          <c:showSerName val="0"/>
          <c:showPercent val="0"/>
          <c:showBubbleSize val="0"/>
        </c:dLbls>
        <c:gapWidth val="219"/>
        <c:overlap val="-27"/>
        <c:axId val="800168488"/>
        <c:axId val="800168128"/>
      </c:barChart>
      <c:catAx>
        <c:axId val="8001684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800168128"/>
        <c:crosses val="autoZero"/>
        <c:auto val="1"/>
        <c:lblAlgn val="ctr"/>
        <c:lblOffset val="100"/>
        <c:noMultiLvlLbl val="0"/>
      </c:catAx>
      <c:valAx>
        <c:axId val="8001681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80016848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A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Metros cuadrados autorizados para construcciones nuevas en ciudad de BA 2021-2023</a:t>
            </a:r>
          </a:p>
        </c:rich>
      </c:tx>
      <c:layout>
        <c:manualLayout>
          <c:xMode val="edge"/>
          <c:yMode val="edge"/>
          <c:x val="0.1163133097762073"/>
          <c:y val="8.62292089155841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AR"/>
        </a:p>
      </c:txPr>
    </c:title>
    <c:autoTitleDeleted val="0"/>
    <c:plotArea>
      <c:layout/>
      <c:barChart>
        <c:barDir val="col"/>
        <c:grouping val="clustered"/>
        <c:varyColors val="0"/>
        <c:ser>
          <c:idx val="0"/>
          <c:order val="0"/>
          <c:tx>
            <c:strRef>
              <c:f>'1.2 - Superfie autorizadas'!$D$43</c:f>
              <c:strCache>
                <c:ptCount val="1"/>
                <c:pt idx="0">
                  <c:v>Metros cuadrados</c:v>
                </c:pt>
              </c:strCache>
            </c:strRef>
          </c:tx>
          <c:spPr>
            <a:solidFill>
              <a:schemeClr val="accent1"/>
            </a:solidFill>
            <a:ln>
              <a:noFill/>
            </a:ln>
            <a:effectLst/>
          </c:spPr>
          <c:invertIfNegative val="0"/>
          <c:cat>
            <c:multiLvlStrRef>
              <c:f>'1.2 - Superfie autorizadas'!$B$44:$C$79</c:f>
              <c:multiLvlStrCache>
                <c:ptCount val="36"/>
                <c:lvl>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pt idx="12">
                    <c:v>Enero</c:v>
                  </c:pt>
                  <c:pt idx="13">
                    <c:v>Febrero</c:v>
                  </c:pt>
                  <c:pt idx="14">
                    <c:v>Marzo</c:v>
                  </c:pt>
                  <c:pt idx="15">
                    <c:v>Abril</c:v>
                  </c:pt>
                  <c:pt idx="16">
                    <c:v>Mayo</c:v>
                  </c:pt>
                  <c:pt idx="17">
                    <c:v>Junio</c:v>
                  </c:pt>
                  <c:pt idx="18">
                    <c:v>Julio</c:v>
                  </c:pt>
                  <c:pt idx="19">
                    <c:v>Agosto</c:v>
                  </c:pt>
                  <c:pt idx="20">
                    <c:v>Septiembre</c:v>
                  </c:pt>
                  <c:pt idx="21">
                    <c:v>Octubre</c:v>
                  </c:pt>
                  <c:pt idx="22">
                    <c:v>Noviembre</c:v>
                  </c:pt>
                  <c:pt idx="23">
                    <c:v>Diciembre</c:v>
                  </c:pt>
                  <c:pt idx="24">
                    <c:v>Enero</c:v>
                  </c:pt>
                  <c:pt idx="25">
                    <c:v>Febrero</c:v>
                  </c:pt>
                  <c:pt idx="26">
                    <c:v>Marzo</c:v>
                  </c:pt>
                  <c:pt idx="27">
                    <c:v>Abril</c:v>
                  </c:pt>
                  <c:pt idx="28">
                    <c:v>Mayo</c:v>
                  </c:pt>
                  <c:pt idx="29">
                    <c:v>Junio</c:v>
                  </c:pt>
                  <c:pt idx="30">
                    <c:v>Julio</c:v>
                  </c:pt>
                  <c:pt idx="31">
                    <c:v>Agosto</c:v>
                  </c:pt>
                  <c:pt idx="32">
                    <c:v>Septiembre</c:v>
                  </c:pt>
                  <c:pt idx="33">
                    <c:v>Octubre</c:v>
                  </c:pt>
                  <c:pt idx="34">
                    <c:v>Noviembre</c:v>
                  </c:pt>
                  <c:pt idx="35">
                    <c:v>Diciembre</c:v>
                  </c:pt>
                </c:lvl>
                <c:lvl>
                  <c:pt idx="0">
                    <c:v>2021</c:v>
                  </c:pt>
                  <c:pt idx="12">
                    <c:v>2022</c:v>
                  </c:pt>
                  <c:pt idx="24">
                    <c:v>2023</c:v>
                  </c:pt>
                </c:lvl>
              </c:multiLvlStrCache>
            </c:multiLvlStrRef>
          </c:cat>
          <c:val>
            <c:numRef>
              <c:f>'1.2 - Superfie autorizadas'!$D$44:$D$79</c:f>
              <c:numCache>
                <c:formatCode>#,##0</c:formatCode>
                <c:ptCount val="36"/>
                <c:pt idx="0">
                  <c:v>137179</c:v>
                </c:pt>
                <c:pt idx="1">
                  <c:v>176078</c:v>
                </c:pt>
                <c:pt idx="2">
                  <c:v>139162</c:v>
                </c:pt>
                <c:pt idx="3">
                  <c:v>164655</c:v>
                </c:pt>
                <c:pt idx="4">
                  <c:v>138866</c:v>
                </c:pt>
                <c:pt idx="5">
                  <c:v>120041</c:v>
                </c:pt>
                <c:pt idx="6">
                  <c:v>127407</c:v>
                </c:pt>
                <c:pt idx="7">
                  <c:v>223843</c:v>
                </c:pt>
                <c:pt idx="8">
                  <c:v>230319</c:v>
                </c:pt>
                <c:pt idx="9">
                  <c:v>231891</c:v>
                </c:pt>
                <c:pt idx="10">
                  <c:v>229728</c:v>
                </c:pt>
                <c:pt idx="11">
                  <c:v>269255</c:v>
                </c:pt>
                <c:pt idx="12">
                  <c:v>109854</c:v>
                </c:pt>
                <c:pt idx="13">
                  <c:v>203687</c:v>
                </c:pt>
                <c:pt idx="14">
                  <c:v>195298</c:v>
                </c:pt>
                <c:pt idx="15">
                  <c:v>119624</c:v>
                </c:pt>
                <c:pt idx="16">
                  <c:v>152485</c:v>
                </c:pt>
                <c:pt idx="17">
                  <c:v>150377</c:v>
                </c:pt>
                <c:pt idx="18">
                  <c:v>280967</c:v>
                </c:pt>
                <c:pt idx="19">
                  <c:v>137303</c:v>
                </c:pt>
                <c:pt idx="20">
                  <c:v>139505</c:v>
                </c:pt>
                <c:pt idx="21">
                  <c:v>129393</c:v>
                </c:pt>
                <c:pt idx="22">
                  <c:v>144407</c:v>
                </c:pt>
                <c:pt idx="23">
                  <c:v>114704</c:v>
                </c:pt>
                <c:pt idx="24">
                  <c:v>152940</c:v>
                </c:pt>
                <c:pt idx="25">
                  <c:v>127366</c:v>
                </c:pt>
                <c:pt idx="26">
                  <c:v>407887</c:v>
                </c:pt>
                <c:pt idx="27">
                  <c:v>103442</c:v>
                </c:pt>
                <c:pt idx="28">
                  <c:v>143459</c:v>
                </c:pt>
                <c:pt idx="29">
                  <c:v>87924</c:v>
                </c:pt>
                <c:pt idx="30">
                  <c:v>174694</c:v>
                </c:pt>
                <c:pt idx="31">
                  <c:v>122796</c:v>
                </c:pt>
                <c:pt idx="32">
                  <c:v>90121</c:v>
                </c:pt>
                <c:pt idx="33">
                  <c:v>98390</c:v>
                </c:pt>
                <c:pt idx="34">
                  <c:v>256640</c:v>
                </c:pt>
                <c:pt idx="35">
                  <c:v>68939</c:v>
                </c:pt>
              </c:numCache>
            </c:numRef>
          </c:val>
          <c:extLst>
            <c:ext xmlns:c16="http://schemas.microsoft.com/office/drawing/2014/chart" uri="{C3380CC4-5D6E-409C-BE32-E72D297353CC}">
              <c16:uniqueId val="{00000000-06AC-49FD-B721-B74B71CDFBAD}"/>
            </c:ext>
          </c:extLst>
        </c:ser>
        <c:dLbls>
          <c:showLegendKey val="0"/>
          <c:showVal val="0"/>
          <c:showCatName val="0"/>
          <c:showSerName val="0"/>
          <c:showPercent val="0"/>
          <c:showBubbleSize val="0"/>
        </c:dLbls>
        <c:gapWidth val="219"/>
        <c:overlap val="-27"/>
        <c:axId val="798388320"/>
        <c:axId val="798381840"/>
      </c:barChart>
      <c:catAx>
        <c:axId val="7983883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798381840"/>
        <c:crosses val="autoZero"/>
        <c:auto val="1"/>
        <c:lblAlgn val="ctr"/>
        <c:lblOffset val="100"/>
        <c:noMultiLvlLbl val="0"/>
      </c:catAx>
      <c:valAx>
        <c:axId val="7983818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7983883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A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Demanda</a:t>
            </a:r>
            <a:r>
              <a:rPr lang="en-US" baseline="0"/>
              <a:t> h</a:t>
            </a:r>
            <a:r>
              <a:rPr lang="en-US"/>
              <a:t>ormigón elaborado (miles de ton) periodo 2017-2023</a:t>
            </a:r>
          </a:p>
        </c:rich>
      </c:tx>
      <c:layout>
        <c:manualLayout>
          <c:xMode val="edge"/>
          <c:yMode val="edge"/>
          <c:x val="0.14490266841644794"/>
          <c:y val="2.694380292532717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AR"/>
        </a:p>
      </c:txPr>
    </c:title>
    <c:autoTitleDeleted val="0"/>
    <c:plotArea>
      <c:layout/>
      <c:lineChart>
        <c:grouping val="standard"/>
        <c:varyColors val="0"/>
        <c:ser>
          <c:idx val="0"/>
          <c:order val="0"/>
          <c:tx>
            <c:strRef>
              <c:f>'1.3 - Historico Hormigon'!$D$4</c:f>
              <c:strCache>
                <c:ptCount val="1"/>
                <c:pt idx="0">
                  <c:v>Hormigón elaborado</c:v>
                </c:pt>
              </c:strCache>
            </c:strRef>
          </c:tx>
          <c:spPr>
            <a:ln w="28575" cap="rnd">
              <a:solidFill>
                <a:schemeClr val="accent1"/>
              </a:solidFill>
              <a:round/>
            </a:ln>
            <a:effectLst/>
          </c:spPr>
          <c:marker>
            <c:symbol val="none"/>
          </c:marker>
          <c:trendline>
            <c:spPr>
              <a:ln w="25400" cap="rnd">
                <a:solidFill>
                  <a:srgbClr val="FF0000"/>
                </a:solidFill>
                <a:prstDash val="solid"/>
              </a:ln>
              <a:effectLst/>
            </c:spPr>
            <c:trendlineType val="linear"/>
            <c:dispRSqr val="0"/>
            <c:dispEq val="0"/>
          </c:trendline>
          <c:cat>
            <c:multiLvlStrRef>
              <c:f>'1.3 - Historico Hormigon'!$B$5:$C$88</c:f>
              <c:multiLvlStrCache>
                <c:ptCount val="84"/>
                <c:lvl>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pt idx="12">
                    <c:v>Enero</c:v>
                  </c:pt>
                  <c:pt idx="13">
                    <c:v>Febrero</c:v>
                  </c:pt>
                  <c:pt idx="14">
                    <c:v>Marzo</c:v>
                  </c:pt>
                  <c:pt idx="15">
                    <c:v>Abril</c:v>
                  </c:pt>
                  <c:pt idx="16">
                    <c:v>Mayo</c:v>
                  </c:pt>
                  <c:pt idx="17">
                    <c:v>Junio</c:v>
                  </c:pt>
                  <c:pt idx="18">
                    <c:v>Julio</c:v>
                  </c:pt>
                  <c:pt idx="19">
                    <c:v>Agosto</c:v>
                  </c:pt>
                  <c:pt idx="20">
                    <c:v>Septiembre</c:v>
                  </c:pt>
                  <c:pt idx="21">
                    <c:v>Octubre</c:v>
                  </c:pt>
                  <c:pt idx="22">
                    <c:v>Noviembre</c:v>
                  </c:pt>
                  <c:pt idx="23">
                    <c:v>Diciembre</c:v>
                  </c:pt>
                  <c:pt idx="24">
                    <c:v>Enero</c:v>
                  </c:pt>
                  <c:pt idx="25">
                    <c:v>Febrero</c:v>
                  </c:pt>
                  <c:pt idx="26">
                    <c:v>Marzo</c:v>
                  </c:pt>
                  <c:pt idx="27">
                    <c:v>Abril</c:v>
                  </c:pt>
                  <c:pt idx="28">
                    <c:v>Mayo</c:v>
                  </c:pt>
                  <c:pt idx="29">
                    <c:v>Junio</c:v>
                  </c:pt>
                  <c:pt idx="30">
                    <c:v>Julio</c:v>
                  </c:pt>
                  <c:pt idx="31">
                    <c:v>Agosto</c:v>
                  </c:pt>
                  <c:pt idx="32">
                    <c:v>Septiembre</c:v>
                  </c:pt>
                  <c:pt idx="33">
                    <c:v>Octubre</c:v>
                  </c:pt>
                  <c:pt idx="34">
                    <c:v>Noviembre</c:v>
                  </c:pt>
                  <c:pt idx="35">
                    <c:v>Diciembre</c:v>
                  </c:pt>
                  <c:pt idx="36">
                    <c:v>Enero</c:v>
                  </c:pt>
                  <c:pt idx="37">
                    <c:v>Febrero</c:v>
                  </c:pt>
                  <c:pt idx="38">
                    <c:v>Marzo</c:v>
                  </c:pt>
                  <c:pt idx="39">
                    <c:v>Abril</c:v>
                  </c:pt>
                  <c:pt idx="40">
                    <c:v>Mayo</c:v>
                  </c:pt>
                  <c:pt idx="41">
                    <c:v>Junio</c:v>
                  </c:pt>
                  <c:pt idx="42">
                    <c:v>Julio</c:v>
                  </c:pt>
                  <c:pt idx="43">
                    <c:v>Agosto</c:v>
                  </c:pt>
                  <c:pt idx="44">
                    <c:v>Septiembre</c:v>
                  </c:pt>
                  <c:pt idx="45">
                    <c:v>Octubre</c:v>
                  </c:pt>
                  <c:pt idx="46">
                    <c:v>Noviembre</c:v>
                  </c:pt>
                  <c:pt idx="47">
                    <c:v>Diciembre</c:v>
                  </c:pt>
                  <c:pt idx="48">
                    <c:v>Enero</c:v>
                  </c:pt>
                  <c:pt idx="49">
                    <c:v>Febrero</c:v>
                  </c:pt>
                  <c:pt idx="50">
                    <c:v>Marzo</c:v>
                  </c:pt>
                  <c:pt idx="51">
                    <c:v>Abril</c:v>
                  </c:pt>
                  <c:pt idx="52">
                    <c:v>Mayo</c:v>
                  </c:pt>
                  <c:pt idx="53">
                    <c:v>Junio</c:v>
                  </c:pt>
                  <c:pt idx="54">
                    <c:v>Julio</c:v>
                  </c:pt>
                  <c:pt idx="55">
                    <c:v>Agosto</c:v>
                  </c:pt>
                  <c:pt idx="56">
                    <c:v>Septiembre</c:v>
                  </c:pt>
                  <c:pt idx="57">
                    <c:v>Octubre</c:v>
                  </c:pt>
                  <c:pt idx="58">
                    <c:v>Noviembre</c:v>
                  </c:pt>
                  <c:pt idx="59">
                    <c:v>Diciembre</c:v>
                  </c:pt>
                  <c:pt idx="60">
                    <c:v>Enero</c:v>
                  </c:pt>
                  <c:pt idx="61">
                    <c:v>Febrero</c:v>
                  </c:pt>
                  <c:pt idx="62">
                    <c:v>Marzo</c:v>
                  </c:pt>
                  <c:pt idx="63">
                    <c:v>Abril</c:v>
                  </c:pt>
                  <c:pt idx="64">
                    <c:v>Mayo</c:v>
                  </c:pt>
                  <c:pt idx="65">
                    <c:v>Junio</c:v>
                  </c:pt>
                  <c:pt idx="66">
                    <c:v>Julio</c:v>
                  </c:pt>
                  <c:pt idx="67">
                    <c:v>Agosto</c:v>
                  </c:pt>
                  <c:pt idx="68">
                    <c:v>Septiembre</c:v>
                  </c:pt>
                  <c:pt idx="69">
                    <c:v>Octubre</c:v>
                  </c:pt>
                  <c:pt idx="70">
                    <c:v>Noviembre</c:v>
                  </c:pt>
                  <c:pt idx="71">
                    <c:v>Diciembre</c:v>
                  </c:pt>
                  <c:pt idx="72">
                    <c:v>Enero</c:v>
                  </c:pt>
                  <c:pt idx="73">
                    <c:v>Febrero</c:v>
                  </c:pt>
                  <c:pt idx="74">
                    <c:v>Marzo</c:v>
                  </c:pt>
                  <c:pt idx="75">
                    <c:v>Abril</c:v>
                  </c:pt>
                  <c:pt idx="76">
                    <c:v>Mayo</c:v>
                  </c:pt>
                  <c:pt idx="77">
                    <c:v>Junio</c:v>
                  </c:pt>
                  <c:pt idx="78">
                    <c:v>Julio</c:v>
                  </c:pt>
                  <c:pt idx="79">
                    <c:v>Agosto</c:v>
                  </c:pt>
                  <c:pt idx="80">
                    <c:v>Septiembre</c:v>
                  </c:pt>
                  <c:pt idx="81">
                    <c:v>Octubre</c:v>
                  </c:pt>
                  <c:pt idx="82">
                    <c:v>Noviembre</c:v>
                  </c:pt>
                  <c:pt idx="83">
                    <c:v>Diciembre</c:v>
                  </c:pt>
                </c:lvl>
                <c:lvl>
                  <c:pt idx="0">
                    <c:v>2017</c:v>
                  </c:pt>
                  <c:pt idx="12">
                    <c:v>2018</c:v>
                  </c:pt>
                  <c:pt idx="24">
                    <c:v>2019</c:v>
                  </c:pt>
                  <c:pt idx="36">
                    <c:v>2020</c:v>
                  </c:pt>
                  <c:pt idx="48">
                    <c:v>2021</c:v>
                  </c:pt>
                  <c:pt idx="60">
                    <c:v>2022</c:v>
                  </c:pt>
                  <c:pt idx="72">
                    <c:v>2023</c:v>
                  </c:pt>
                </c:lvl>
              </c:multiLvlStrCache>
            </c:multiLvlStrRef>
          </c:cat>
          <c:val>
            <c:numRef>
              <c:f>'1.3 - Historico Hormigon'!$D$5:$D$88</c:f>
              <c:numCache>
                <c:formatCode>0.00</c:formatCode>
                <c:ptCount val="84"/>
                <c:pt idx="0">
                  <c:v>200.13710990214167</c:v>
                </c:pt>
                <c:pt idx="1">
                  <c:v>208.41555040411723</c:v>
                </c:pt>
                <c:pt idx="2">
                  <c:v>272.39107591770005</c:v>
                </c:pt>
                <c:pt idx="3">
                  <c:v>226.970831216194</c:v>
                </c:pt>
                <c:pt idx="4">
                  <c:v>260.29625811264503</c:v>
                </c:pt>
                <c:pt idx="5">
                  <c:v>285.25197064348947</c:v>
                </c:pt>
                <c:pt idx="6">
                  <c:v>253.09819893111256</c:v>
                </c:pt>
                <c:pt idx="7">
                  <c:v>281.57378276503425</c:v>
                </c:pt>
                <c:pt idx="8">
                  <c:v>293.85689454053067</c:v>
                </c:pt>
                <c:pt idx="9">
                  <c:v>298.78749001300878</c:v>
                </c:pt>
                <c:pt idx="10">
                  <c:v>317.00151638199776</c:v>
                </c:pt>
                <c:pt idx="11">
                  <c:v>245.15894692925895</c:v>
                </c:pt>
                <c:pt idx="12">
                  <c:v>252.26925535606165</c:v>
                </c:pt>
                <c:pt idx="13">
                  <c:v>252.55184437261482</c:v>
                </c:pt>
                <c:pt idx="14">
                  <c:v>305.80970220966941</c:v>
                </c:pt>
                <c:pt idx="15">
                  <c:v>252.80872014776517</c:v>
                </c:pt>
                <c:pt idx="16">
                  <c:v>247.66554871872253</c:v>
                </c:pt>
                <c:pt idx="17">
                  <c:v>274.13010043606715</c:v>
                </c:pt>
                <c:pt idx="18">
                  <c:v>274.95721792679575</c:v>
                </c:pt>
                <c:pt idx="19">
                  <c:v>321.85805179680005</c:v>
                </c:pt>
                <c:pt idx="20">
                  <c:v>280.09172285835211</c:v>
                </c:pt>
                <c:pt idx="21">
                  <c:v>329.45892543837363</c:v>
                </c:pt>
                <c:pt idx="22">
                  <c:v>307.58011563692747</c:v>
                </c:pt>
                <c:pt idx="23">
                  <c:v>225.97526978514333</c:v>
                </c:pt>
                <c:pt idx="24">
                  <c:v>256.031235828094</c:v>
                </c:pt>
                <c:pt idx="25">
                  <c:v>291.14910761238309</c:v>
                </c:pt>
                <c:pt idx="26">
                  <c:v>294.47615428175453</c:v>
                </c:pt>
                <c:pt idx="27">
                  <c:v>261.29682400181127</c:v>
                </c:pt>
                <c:pt idx="28">
                  <c:v>291.58191920893984</c:v>
                </c:pt>
                <c:pt idx="29">
                  <c:v>224.12095518632142</c:v>
                </c:pt>
                <c:pt idx="30">
                  <c:v>264.72365384098731</c:v>
                </c:pt>
                <c:pt idx="31">
                  <c:v>290.30397604658339</c:v>
                </c:pt>
                <c:pt idx="32">
                  <c:v>251.49297210457468</c:v>
                </c:pt>
                <c:pt idx="33">
                  <c:v>210.74503558656878</c:v>
                </c:pt>
                <c:pt idx="34">
                  <c:v>203.09201489918678</c:v>
                </c:pt>
                <c:pt idx="35">
                  <c:v>167.23886285949024</c:v>
                </c:pt>
                <c:pt idx="36">
                  <c:v>145.23889976630579</c:v>
                </c:pt>
                <c:pt idx="37">
                  <c:v>137.72018017778237</c:v>
                </c:pt>
                <c:pt idx="38">
                  <c:v>94.467841929329367</c:v>
                </c:pt>
                <c:pt idx="39">
                  <c:v>15.644607278839343</c:v>
                </c:pt>
                <c:pt idx="40">
                  <c:v>39.228436947354105</c:v>
                </c:pt>
                <c:pt idx="41">
                  <c:v>66.736966007104755</c:v>
                </c:pt>
                <c:pt idx="42">
                  <c:v>85.852910228953178</c:v>
                </c:pt>
                <c:pt idx="43">
                  <c:v>103.98365728212057</c:v>
                </c:pt>
                <c:pt idx="44">
                  <c:v>128.56551606320258</c:v>
                </c:pt>
                <c:pt idx="45">
                  <c:v>139.33319500718659</c:v>
                </c:pt>
                <c:pt idx="46">
                  <c:v>188.69195811642143</c:v>
                </c:pt>
                <c:pt idx="47">
                  <c:v>204.32728691275835</c:v>
                </c:pt>
                <c:pt idx="48">
                  <c:v>187.86113910341791</c:v>
                </c:pt>
                <c:pt idx="49">
                  <c:v>157.27674374050594</c:v>
                </c:pt>
                <c:pt idx="50">
                  <c:v>195.29330229506564</c:v>
                </c:pt>
                <c:pt idx="51">
                  <c:v>180.63478055025328</c:v>
                </c:pt>
                <c:pt idx="52">
                  <c:v>153.38516063522263</c:v>
                </c:pt>
                <c:pt idx="53">
                  <c:v>195.74340740369055</c:v>
                </c:pt>
                <c:pt idx="54">
                  <c:v>202.48461977069479</c:v>
                </c:pt>
                <c:pt idx="55">
                  <c:v>230.01604891491931</c:v>
                </c:pt>
                <c:pt idx="56">
                  <c:v>214.7810767678329</c:v>
                </c:pt>
                <c:pt idx="57">
                  <c:v>228.12432426430601</c:v>
                </c:pt>
                <c:pt idx="58">
                  <c:v>228.01623981387965</c:v>
                </c:pt>
                <c:pt idx="59">
                  <c:v>212.76596804139044</c:v>
                </c:pt>
                <c:pt idx="60">
                  <c:v>160.55057576003949</c:v>
                </c:pt>
                <c:pt idx="61">
                  <c:v>191.53732433862288</c:v>
                </c:pt>
                <c:pt idx="62">
                  <c:v>203.72374673277443</c:v>
                </c:pt>
                <c:pt idx="63">
                  <c:v>205.80047425151329</c:v>
                </c:pt>
                <c:pt idx="64">
                  <c:v>236.95692631550281</c:v>
                </c:pt>
                <c:pt idx="65">
                  <c:v>243.75966929577527</c:v>
                </c:pt>
                <c:pt idx="66">
                  <c:v>239.7431856174384</c:v>
                </c:pt>
                <c:pt idx="67">
                  <c:v>271.46615525140396</c:v>
                </c:pt>
                <c:pt idx="68">
                  <c:v>260.40168943139173</c:v>
                </c:pt>
                <c:pt idx="69">
                  <c:v>235.18637007013768</c:v>
                </c:pt>
                <c:pt idx="70">
                  <c:v>256.38218432601496</c:v>
                </c:pt>
                <c:pt idx="71">
                  <c:v>207.79562324017564</c:v>
                </c:pt>
                <c:pt idx="72">
                  <c:v>205.17760060974291</c:v>
                </c:pt>
                <c:pt idx="73">
                  <c:v>201.43881634396647</c:v>
                </c:pt>
                <c:pt idx="74">
                  <c:v>246.37776444247797</c:v>
                </c:pt>
                <c:pt idx="75">
                  <c:v>224.48942939037778</c:v>
                </c:pt>
                <c:pt idx="76">
                  <c:v>241.50063869310134</c:v>
                </c:pt>
                <c:pt idx="77">
                  <c:v>261.33882394122355</c:v>
                </c:pt>
                <c:pt idx="78">
                  <c:v>251.15914414901118</c:v>
                </c:pt>
                <c:pt idx="79">
                  <c:v>262.78093701951525</c:v>
                </c:pt>
                <c:pt idx="80">
                  <c:v>248.59769073479697</c:v>
                </c:pt>
                <c:pt idx="81">
                  <c:v>225.05600906658546</c:v>
                </c:pt>
                <c:pt idx="82">
                  <c:v>227.14119994809897</c:v>
                </c:pt>
                <c:pt idx="83">
                  <c:v>159.01196802933751</c:v>
                </c:pt>
              </c:numCache>
            </c:numRef>
          </c:val>
          <c:smooth val="0"/>
          <c:extLst>
            <c:ext xmlns:c16="http://schemas.microsoft.com/office/drawing/2014/chart" uri="{C3380CC4-5D6E-409C-BE32-E72D297353CC}">
              <c16:uniqueId val="{00000000-9D0A-4D9B-9B96-DCB3D7696F1E}"/>
            </c:ext>
          </c:extLst>
        </c:ser>
        <c:dLbls>
          <c:showLegendKey val="0"/>
          <c:showVal val="0"/>
          <c:showCatName val="0"/>
          <c:showSerName val="0"/>
          <c:showPercent val="0"/>
          <c:showBubbleSize val="0"/>
        </c:dLbls>
        <c:smooth val="0"/>
        <c:axId val="751725104"/>
        <c:axId val="751724744"/>
      </c:lineChart>
      <c:catAx>
        <c:axId val="7517251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751724744"/>
        <c:crosses val="autoZero"/>
        <c:auto val="1"/>
        <c:lblAlgn val="ctr"/>
        <c:lblOffset val="100"/>
        <c:noMultiLvlLbl val="0"/>
      </c:catAx>
      <c:valAx>
        <c:axId val="751724744"/>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75172510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A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Hormigón elaborado (miles de ton) 2021-2023</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AR"/>
        </a:p>
      </c:txPr>
    </c:title>
    <c:autoTitleDeleted val="0"/>
    <c:plotArea>
      <c:layout/>
      <c:lineChart>
        <c:grouping val="standard"/>
        <c:varyColors val="0"/>
        <c:ser>
          <c:idx val="0"/>
          <c:order val="0"/>
          <c:spPr>
            <a:ln w="28575" cap="rnd">
              <a:solidFill>
                <a:schemeClr val="accent1"/>
              </a:solidFill>
              <a:round/>
            </a:ln>
            <a:effectLst/>
          </c:spPr>
          <c:marker>
            <c:symbol val="none"/>
          </c:marker>
          <c:trendline>
            <c:spPr>
              <a:ln w="12700" cap="flat" cmpd="sng" algn="ctr">
                <a:solidFill>
                  <a:schemeClr val="accent2"/>
                </a:solidFill>
                <a:prstDash val="solid"/>
                <a:miter lim="800000"/>
              </a:ln>
              <a:effectLst/>
            </c:spPr>
            <c:trendlineType val="linear"/>
            <c:dispRSqr val="0"/>
            <c:dispEq val="0"/>
          </c:trendline>
          <c:cat>
            <c:multiLvlStrRef>
              <c:f>'1.3 - Historico Hormigon'!$B$53:$C$88</c:f>
              <c:multiLvlStrCache>
                <c:ptCount val="36"/>
                <c:lvl>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pt idx="12">
                    <c:v>Enero</c:v>
                  </c:pt>
                  <c:pt idx="13">
                    <c:v>Febrero</c:v>
                  </c:pt>
                  <c:pt idx="14">
                    <c:v>Marzo</c:v>
                  </c:pt>
                  <c:pt idx="15">
                    <c:v>Abril</c:v>
                  </c:pt>
                  <c:pt idx="16">
                    <c:v>Mayo</c:v>
                  </c:pt>
                  <c:pt idx="17">
                    <c:v>Junio</c:v>
                  </c:pt>
                  <c:pt idx="18">
                    <c:v>Julio</c:v>
                  </c:pt>
                  <c:pt idx="19">
                    <c:v>Agosto</c:v>
                  </c:pt>
                  <c:pt idx="20">
                    <c:v>Septiembre</c:v>
                  </c:pt>
                  <c:pt idx="21">
                    <c:v>Octubre</c:v>
                  </c:pt>
                  <c:pt idx="22">
                    <c:v>Noviembre</c:v>
                  </c:pt>
                  <c:pt idx="23">
                    <c:v>Diciembre</c:v>
                  </c:pt>
                  <c:pt idx="24">
                    <c:v>Enero</c:v>
                  </c:pt>
                  <c:pt idx="25">
                    <c:v>Febrero</c:v>
                  </c:pt>
                  <c:pt idx="26">
                    <c:v>Marzo</c:v>
                  </c:pt>
                  <c:pt idx="27">
                    <c:v>Abril</c:v>
                  </c:pt>
                  <c:pt idx="28">
                    <c:v>Mayo</c:v>
                  </c:pt>
                  <c:pt idx="29">
                    <c:v>Junio</c:v>
                  </c:pt>
                  <c:pt idx="30">
                    <c:v>Julio</c:v>
                  </c:pt>
                  <c:pt idx="31">
                    <c:v>Agosto</c:v>
                  </c:pt>
                  <c:pt idx="32">
                    <c:v>Septiembre</c:v>
                  </c:pt>
                  <c:pt idx="33">
                    <c:v>Octubre</c:v>
                  </c:pt>
                  <c:pt idx="34">
                    <c:v>Noviembre</c:v>
                  </c:pt>
                  <c:pt idx="35">
                    <c:v>Diciembre</c:v>
                  </c:pt>
                </c:lvl>
                <c:lvl>
                  <c:pt idx="0">
                    <c:v>2021</c:v>
                  </c:pt>
                  <c:pt idx="12">
                    <c:v>2022</c:v>
                  </c:pt>
                  <c:pt idx="24">
                    <c:v>2023</c:v>
                  </c:pt>
                </c:lvl>
              </c:multiLvlStrCache>
            </c:multiLvlStrRef>
          </c:cat>
          <c:val>
            <c:numRef>
              <c:f>'1.3 - Historico Hormigon'!$D$53:$D$88</c:f>
              <c:numCache>
                <c:formatCode>0.00</c:formatCode>
                <c:ptCount val="36"/>
                <c:pt idx="0">
                  <c:v>187.86113910341791</c:v>
                </c:pt>
                <c:pt idx="1">
                  <c:v>157.27674374050594</c:v>
                </c:pt>
                <c:pt idx="2">
                  <c:v>195.29330229506564</c:v>
                </c:pt>
                <c:pt idx="3">
                  <c:v>180.63478055025328</c:v>
                </c:pt>
                <c:pt idx="4">
                  <c:v>153.38516063522263</c:v>
                </c:pt>
                <c:pt idx="5">
                  <c:v>195.74340740369055</c:v>
                </c:pt>
                <c:pt idx="6">
                  <c:v>202.48461977069479</c:v>
                </c:pt>
                <c:pt idx="7">
                  <c:v>230.01604891491931</c:v>
                </c:pt>
                <c:pt idx="8">
                  <c:v>214.7810767678329</c:v>
                </c:pt>
                <c:pt idx="9">
                  <c:v>228.12432426430601</c:v>
                </c:pt>
                <c:pt idx="10">
                  <c:v>228.01623981387965</c:v>
                </c:pt>
                <c:pt idx="11">
                  <c:v>212.76596804139044</c:v>
                </c:pt>
                <c:pt idx="12">
                  <c:v>160.55057576003949</c:v>
                </c:pt>
                <c:pt idx="13">
                  <c:v>191.53732433862288</c:v>
                </c:pt>
                <c:pt idx="14">
                  <c:v>203.72374673277443</c:v>
                </c:pt>
                <c:pt idx="15">
                  <c:v>205.80047425151329</c:v>
                </c:pt>
                <c:pt idx="16">
                  <c:v>236.95692631550281</c:v>
                </c:pt>
                <c:pt idx="17">
                  <c:v>243.75966929577527</c:v>
                </c:pt>
                <c:pt idx="18">
                  <c:v>239.7431856174384</c:v>
                </c:pt>
                <c:pt idx="19">
                  <c:v>271.46615525140396</c:v>
                </c:pt>
                <c:pt idx="20">
                  <c:v>260.40168943139173</c:v>
                </c:pt>
                <c:pt idx="21">
                  <c:v>235.18637007013768</c:v>
                </c:pt>
                <c:pt idx="22">
                  <c:v>256.38218432601496</c:v>
                </c:pt>
                <c:pt idx="23">
                  <c:v>207.79562324017564</c:v>
                </c:pt>
                <c:pt idx="24">
                  <c:v>205.17760060974291</c:v>
                </c:pt>
                <c:pt idx="25">
                  <c:v>201.43881634396647</c:v>
                </c:pt>
                <c:pt idx="26">
                  <c:v>246.37776444247797</c:v>
                </c:pt>
                <c:pt idx="27">
                  <c:v>224.48942939037778</c:v>
                </c:pt>
                <c:pt idx="28">
                  <c:v>241.50063869310134</c:v>
                </c:pt>
                <c:pt idx="29">
                  <c:v>261.33882394122355</c:v>
                </c:pt>
                <c:pt idx="30">
                  <c:v>251.15914414901118</c:v>
                </c:pt>
                <c:pt idx="31">
                  <c:v>262.78093701951525</c:v>
                </c:pt>
                <c:pt idx="32">
                  <c:v>248.59769073479697</c:v>
                </c:pt>
                <c:pt idx="33">
                  <c:v>225.05600906658546</c:v>
                </c:pt>
                <c:pt idx="34">
                  <c:v>227.14119994809897</c:v>
                </c:pt>
                <c:pt idx="35">
                  <c:v>159.01196802933751</c:v>
                </c:pt>
              </c:numCache>
            </c:numRef>
          </c:val>
          <c:smooth val="0"/>
          <c:extLst>
            <c:ext xmlns:c16="http://schemas.microsoft.com/office/drawing/2014/chart" uri="{C3380CC4-5D6E-409C-BE32-E72D297353CC}">
              <c16:uniqueId val="{00000000-4F7E-4CC0-B8F1-41C664B50F9E}"/>
            </c:ext>
          </c:extLst>
        </c:ser>
        <c:dLbls>
          <c:showLegendKey val="0"/>
          <c:showVal val="0"/>
          <c:showCatName val="0"/>
          <c:showSerName val="0"/>
          <c:showPercent val="0"/>
          <c:showBubbleSize val="0"/>
        </c:dLbls>
        <c:smooth val="0"/>
        <c:axId val="620411912"/>
        <c:axId val="620412272"/>
      </c:lineChart>
      <c:catAx>
        <c:axId val="6204119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620412272"/>
        <c:crosses val="autoZero"/>
        <c:auto val="1"/>
        <c:lblAlgn val="ctr"/>
        <c:lblOffset val="100"/>
        <c:noMultiLvlLbl val="0"/>
      </c:catAx>
      <c:valAx>
        <c:axId val="620412272"/>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62041191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A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n-US" sz="1400" b="0" i="0" u="none" strike="noStrike" kern="1200" spc="0" baseline="0">
                <a:solidFill>
                  <a:sysClr val="windowText" lastClr="000000">
                    <a:lumMod val="65000"/>
                    <a:lumOff val="35000"/>
                  </a:sysClr>
                </a:solidFill>
              </a:rPr>
              <a:t>Hormigón elaborado (miles de ton) 2017-2019</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s-AR"/>
        </a:p>
      </c:txPr>
    </c:title>
    <c:autoTitleDeleted val="0"/>
    <c:plotArea>
      <c:layout>
        <c:manualLayout>
          <c:layoutTarget val="inner"/>
          <c:xMode val="edge"/>
          <c:yMode val="edge"/>
          <c:x val="0.11134109880595144"/>
          <c:y val="0.16561993520782442"/>
          <c:w val="0.85795887691092265"/>
          <c:h val="0.48814701587694465"/>
        </c:manualLayout>
      </c:layout>
      <c:lineChart>
        <c:grouping val="standard"/>
        <c:varyColors val="0"/>
        <c:ser>
          <c:idx val="0"/>
          <c:order val="0"/>
          <c:spPr>
            <a:ln w="28575" cap="rnd">
              <a:solidFill>
                <a:schemeClr val="accent1"/>
              </a:solidFill>
              <a:round/>
            </a:ln>
            <a:effectLst/>
          </c:spPr>
          <c:marker>
            <c:symbol val="none"/>
          </c:marker>
          <c:trendline>
            <c:spPr>
              <a:ln w="19050" cap="rnd">
                <a:solidFill>
                  <a:srgbClr val="FF0000"/>
                </a:solidFill>
                <a:prstDash val="solid"/>
              </a:ln>
              <a:effectLst/>
            </c:spPr>
            <c:trendlineType val="linear"/>
            <c:dispRSqr val="0"/>
            <c:dispEq val="0"/>
          </c:trendline>
          <c:cat>
            <c:multiLvlStrRef>
              <c:f>'1.3 - Historico Hormigon'!$B$5:$C$40</c:f>
              <c:multiLvlStrCache>
                <c:ptCount val="36"/>
                <c:lvl>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pt idx="12">
                    <c:v>Enero</c:v>
                  </c:pt>
                  <c:pt idx="13">
                    <c:v>Febrero</c:v>
                  </c:pt>
                  <c:pt idx="14">
                    <c:v>Marzo</c:v>
                  </c:pt>
                  <c:pt idx="15">
                    <c:v>Abril</c:v>
                  </c:pt>
                  <c:pt idx="16">
                    <c:v>Mayo</c:v>
                  </c:pt>
                  <c:pt idx="17">
                    <c:v>Junio</c:v>
                  </c:pt>
                  <c:pt idx="18">
                    <c:v>Julio</c:v>
                  </c:pt>
                  <c:pt idx="19">
                    <c:v>Agosto</c:v>
                  </c:pt>
                  <c:pt idx="20">
                    <c:v>Septiembre</c:v>
                  </c:pt>
                  <c:pt idx="21">
                    <c:v>Octubre</c:v>
                  </c:pt>
                  <c:pt idx="22">
                    <c:v>Noviembre</c:v>
                  </c:pt>
                  <c:pt idx="23">
                    <c:v>Diciembre</c:v>
                  </c:pt>
                  <c:pt idx="24">
                    <c:v>Enero</c:v>
                  </c:pt>
                  <c:pt idx="25">
                    <c:v>Febrero</c:v>
                  </c:pt>
                  <c:pt idx="26">
                    <c:v>Marzo</c:v>
                  </c:pt>
                  <c:pt idx="27">
                    <c:v>Abril</c:v>
                  </c:pt>
                  <c:pt idx="28">
                    <c:v>Mayo</c:v>
                  </c:pt>
                  <c:pt idx="29">
                    <c:v>Junio</c:v>
                  </c:pt>
                  <c:pt idx="30">
                    <c:v>Julio</c:v>
                  </c:pt>
                  <c:pt idx="31">
                    <c:v>Agosto</c:v>
                  </c:pt>
                  <c:pt idx="32">
                    <c:v>Septiembre</c:v>
                  </c:pt>
                  <c:pt idx="33">
                    <c:v>Octubre</c:v>
                  </c:pt>
                  <c:pt idx="34">
                    <c:v>Noviembre</c:v>
                  </c:pt>
                  <c:pt idx="35">
                    <c:v>Diciembre</c:v>
                  </c:pt>
                </c:lvl>
                <c:lvl>
                  <c:pt idx="0">
                    <c:v>2017</c:v>
                  </c:pt>
                  <c:pt idx="12">
                    <c:v>2018</c:v>
                  </c:pt>
                  <c:pt idx="24">
                    <c:v>2019</c:v>
                  </c:pt>
                </c:lvl>
              </c:multiLvlStrCache>
            </c:multiLvlStrRef>
          </c:cat>
          <c:val>
            <c:numRef>
              <c:f>'1.3 - Historico Hormigon'!$D$5:$D$40</c:f>
              <c:numCache>
                <c:formatCode>0.00</c:formatCode>
                <c:ptCount val="36"/>
                <c:pt idx="0">
                  <c:v>200.13710990214167</c:v>
                </c:pt>
                <c:pt idx="1">
                  <c:v>208.41555040411723</c:v>
                </c:pt>
                <c:pt idx="2">
                  <c:v>272.39107591770005</c:v>
                </c:pt>
                <c:pt idx="3">
                  <c:v>226.970831216194</c:v>
                </c:pt>
                <c:pt idx="4">
                  <c:v>260.29625811264503</c:v>
                </c:pt>
                <c:pt idx="5">
                  <c:v>285.25197064348947</c:v>
                </c:pt>
                <c:pt idx="6">
                  <c:v>253.09819893111256</c:v>
                </c:pt>
                <c:pt idx="7">
                  <c:v>281.57378276503425</c:v>
                </c:pt>
                <c:pt idx="8">
                  <c:v>293.85689454053067</c:v>
                </c:pt>
                <c:pt idx="9">
                  <c:v>298.78749001300878</c:v>
                </c:pt>
                <c:pt idx="10">
                  <c:v>317.00151638199776</c:v>
                </c:pt>
                <c:pt idx="11">
                  <c:v>245.15894692925895</c:v>
                </c:pt>
                <c:pt idx="12">
                  <c:v>252.26925535606165</c:v>
                </c:pt>
                <c:pt idx="13">
                  <c:v>252.55184437261482</c:v>
                </c:pt>
                <c:pt idx="14">
                  <c:v>305.80970220966941</c:v>
                </c:pt>
                <c:pt idx="15">
                  <c:v>252.80872014776517</c:v>
                </c:pt>
                <c:pt idx="16">
                  <c:v>247.66554871872253</c:v>
                </c:pt>
                <c:pt idx="17">
                  <c:v>274.13010043606715</c:v>
                </c:pt>
                <c:pt idx="18">
                  <c:v>274.95721792679575</c:v>
                </c:pt>
                <c:pt idx="19">
                  <c:v>321.85805179680005</c:v>
                </c:pt>
                <c:pt idx="20">
                  <c:v>280.09172285835211</c:v>
                </c:pt>
                <c:pt idx="21">
                  <c:v>329.45892543837363</c:v>
                </c:pt>
                <c:pt idx="22">
                  <c:v>307.58011563692747</c:v>
                </c:pt>
                <c:pt idx="23">
                  <c:v>225.97526978514333</c:v>
                </c:pt>
                <c:pt idx="24">
                  <c:v>256.031235828094</c:v>
                </c:pt>
                <c:pt idx="25">
                  <c:v>291.14910761238309</c:v>
                </c:pt>
                <c:pt idx="26">
                  <c:v>294.47615428175453</c:v>
                </c:pt>
                <c:pt idx="27">
                  <c:v>261.29682400181127</c:v>
                </c:pt>
                <c:pt idx="28">
                  <c:v>291.58191920893984</c:v>
                </c:pt>
                <c:pt idx="29">
                  <c:v>224.12095518632142</c:v>
                </c:pt>
                <c:pt idx="30">
                  <c:v>264.72365384098731</c:v>
                </c:pt>
                <c:pt idx="31">
                  <c:v>290.30397604658339</c:v>
                </c:pt>
                <c:pt idx="32">
                  <c:v>251.49297210457468</c:v>
                </c:pt>
                <c:pt idx="33">
                  <c:v>210.74503558656878</c:v>
                </c:pt>
                <c:pt idx="34">
                  <c:v>203.09201489918678</c:v>
                </c:pt>
                <c:pt idx="35">
                  <c:v>167.23886285949024</c:v>
                </c:pt>
              </c:numCache>
            </c:numRef>
          </c:val>
          <c:smooth val="0"/>
          <c:extLst>
            <c:ext xmlns:c16="http://schemas.microsoft.com/office/drawing/2014/chart" uri="{C3380CC4-5D6E-409C-BE32-E72D297353CC}">
              <c16:uniqueId val="{00000000-81EA-4353-9D9C-016B7545FC70}"/>
            </c:ext>
          </c:extLst>
        </c:ser>
        <c:dLbls>
          <c:showLegendKey val="0"/>
          <c:showVal val="0"/>
          <c:showCatName val="0"/>
          <c:showSerName val="0"/>
          <c:showPercent val="0"/>
          <c:showBubbleSize val="0"/>
        </c:dLbls>
        <c:smooth val="0"/>
        <c:axId val="593464984"/>
        <c:axId val="593455624"/>
      </c:lineChart>
      <c:catAx>
        <c:axId val="5934649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593455624"/>
        <c:crosses val="autoZero"/>
        <c:auto val="1"/>
        <c:lblAlgn val="ctr"/>
        <c:lblOffset val="100"/>
        <c:noMultiLvlLbl val="0"/>
      </c:catAx>
      <c:valAx>
        <c:axId val="593455624"/>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59346498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AR"/>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Hormigón elaborado (miles de ton) 2021-2023</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AR"/>
        </a:p>
      </c:txPr>
    </c:title>
    <c:autoTitleDeleted val="0"/>
    <c:plotArea>
      <c:layout/>
      <c:lineChart>
        <c:grouping val="standard"/>
        <c:varyColors val="0"/>
        <c:ser>
          <c:idx val="0"/>
          <c:order val="0"/>
          <c:tx>
            <c:strRef>
              <c:f>'1.4 -Proy. hormigon 2024 - 2028'!$E$5</c:f>
              <c:strCache>
                <c:ptCount val="1"/>
                <c:pt idx="0">
                  <c:v>Hormigón elaborado (miles de ton)</c:v>
                </c:pt>
              </c:strCache>
            </c:strRef>
          </c:tx>
          <c:spPr>
            <a:ln w="28575" cap="rnd">
              <a:solidFill>
                <a:schemeClr val="accent1"/>
              </a:solidFill>
              <a:round/>
            </a:ln>
            <a:effectLst/>
          </c:spPr>
          <c:marker>
            <c:symbol val="none"/>
          </c:marker>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0"/>
            <c:dispEq val="0"/>
          </c:trendline>
          <c:trendline>
            <c:spPr>
              <a:ln w="19050" cap="rnd">
                <a:solidFill>
                  <a:srgbClr val="FF0000"/>
                </a:solidFill>
                <a:prstDash val="solid"/>
              </a:ln>
              <a:effectLst/>
            </c:spPr>
            <c:trendlineType val="linear"/>
            <c:dispRSqr val="0"/>
            <c:dispEq val="1"/>
            <c:trendlineLbl>
              <c:layout>
                <c:manualLayout>
                  <c:x val="-0.24355803542406573"/>
                  <c:y val="0.18560335919193097"/>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trendlineLbl>
          </c:trendline>
          <c:cat>
            <c:numRef>
              <c:f>'1.4 -Proy. hormigon 2024 - 2028'!$D$6:$D$41</c:f>
              <c:numCache>
                <c:formatCode>General</c:formatCode>
                <c:ptCount val="36"/>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numCache>
            </c:numRef>
          </c:cat>
          <c:val>
            <c:numRef>
              <c:f>'1.4 -Proy. hormigon 2024 - 2028'!$E$6:$E$41</c:f>
              <c:numCache>
                <c:formatCode>0.0</c:formatCode>
                <c:ptCount val="36"/>
                <c:pt idx="0">
                  <c:v>187.86113910341791</c:v>
                </c:pt>
                <c:pt idx="1">
                  <c:v>157.27674374050594</c:v>
                </c:pt>
                <c:pt idx="2">
                  <c:v>195.29330229506564</c:v>
                </c:pt>
                <c:pt idx="3">
                  <c:v>180.63478055025328</c:v>
                </c:pt>
                <c:pt idx="4">
                  <c:v>153.38516063522263</c:v>
                </c:pt>
                <c:pt idx="5">
                  <c:v>195.74340740369055</c:v>
                </c:pt>
                <c:pt idx="6">
                  <c:v>202.48461977069479</c:v>
                </c:pt>
                <c:pt idx="7">
                  <c:v>230.01604891491931</c:v>
                </c:pt>
                <c:pt idx="8">
                  <c:v>214.7810767678329</c:v>
                </c:pt>
                <c:pt idx="9">
                  <c:v>228.12432426430601</c:v>
                </c:pt>
                <c:pt idx="10">
                  <c:v>228.01623981387965</c:v>
                </c:pt>
                <c:pt idx="11">
                  <c:v>212.76596804139044</c:v>
                </c:pt>
                <c:pt idx="12">
                  <c:v>160.55057576003949</c:v>
                </c:pt>
                <c:pt idx="13">
                  <c:v>191.53732433862288</c:v>
                </c:pt>
                <c:pt idx="14">
                  <c:v>203.72374673277443</c:v>
                </c:pt>
                <c:pt idx="15">
                  <c:v>205.80047425151329</c:v>
                </c:pt>
                <c:pt idx="16">
                  <c:v>236.95692631550281</c:v>
                </c:pt>
                <c:pt idx="17">
                  <c:v>243.75966929577527</c:v>
                </c:pt>
                <c:pt idx="18">
                  <c:v>239.7431856174384</c:v>
                </c:pt>
                <c:pt idx="19">
                  <c:v>271.46615525140396</c:v>
                </c:pt>
                <c:pt idx="20">
                  <c:v>260.40168943139173</c:v>
                </c:pt>
                <c:pt idx="21">
                  <c:v>235.18637007013768</c:v>
                </c:pt>
                <c:pt idx="22">
                  <c:v>256.38218432601496</c:v>
                </c:pt>
                <c:pt idx="23">
                  <c:v>207.79562324017564</c:v>
                </c:pt>
                <c:pt idx="24">
                  <c:v>205.17760060974291</c:v>
                </c:pt>
                <c:pt idx="25">
                  <c:v>201.43881634396647</c:v>
                </c:pt>
                <c:pt idx="26">
                  <c:v>246.37776444247797</c:v>
                </c:pt>
                <c:pt idx="27">
                  <c:v>224.48942939037778</c:v>
                </c:pt>
                <c:pt idx="28">
                  <c:v>241.50063869310134</c:v>
                </c:pt>
                <c:pt idx="29">
                  <c:v>261.33882394122355</c:v>
                </c:pt>
                <c:pt idx="30">
                  <c:v>251.15914414901118</c:v>
                </c:pt>
                <c:pt idx="31">
                  <c:v>262.78093701951525</c:v>
                </c:pt>
                <c:pt idx="32">
                  <c:v>248.59769073479697</c:v>
                </c:pt>
                <c:pt idx="33">
                  <c:v>225.05600906658546</c:v>
                </c:pt>
                <c:pt idx="34">
                  <c:v>227.14119994809897</c:v>
                </c:pt>
                <c:pt idx="35">
                  <c:v>159.01196802933751</c:v>
                </c:pt>
              </c:numCache>
            </c:numRef>
          </c:val>
          <c:smooth val="0"/>
          <c:extLst>
            <c:ext xmlns:c16="http://schemas.microsoft.com/office/drawing/2014/chart" uri="{C3380CC4-5D6E-409C-BE32-E72D297353CC}">
              <c16:uniqueId val="{00000000-AF7A-4228-A65B-F3564F8745AB}"/>
            </c:ext>
          </c:extLst>
        </c:ser>
        <c:dLbls>
          <c:showLegendKey val="0"/>
          <c:showVal val="0"/>
          <c:showCatName val="0"/>
          <c:showSerName val="0"/>
          <c:showPercent val="0"/>
          <c:showBubbleSize val="0"/>
        </c:dLbls>
        <c:smooth val="0"/>
        <c:axId val="343783128"/>
        <c:axId val="343783488"/>
      </c:lineChart>
      <c:catAx>
        <c:axId val="3437831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343783488"/>
        <c:crosses val="autoZero"/>
        <c:auto val="1"/>
        <c:lblAlgn val="ctr"/>
        <c:lblOffset val="100"/>
        <c:noMultiLvlLbl val="0"/>
      </c:catAx>
      <c:valAx>
        <c:axId val="34378348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34378312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AR"/>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Proyeccion</a:t>
            </a:r>
            <a:r>
              <a:rPr lang="en-US" baseline="0"/>
              <a:t> Demanda de hormigon elaborado (miles de ton) 2024 - 2028</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'1.4 -Proy. hormigon 2024 - 2028'!$D$117</c:f>
              <c:strCache>
                <c:ptCount val="1"/>
                <c:pt idx="0">
                  <c:v>Demanda</c:v>
                </c:pt>
              </c:strCache>
            </c:strRef>
          </c:tx>
          <c:spPr>
            <a:ln w="28575" cap="rnd">
              <a:solidFill>
                <a:schemeClr val="accent1"/>
              </a:solidFill>
              <a:round/>
            </a:ln>
            <a:effectLst/>
          </c:spPr>
          <c:marker>
            <c:symbol val="none"/>
          </c:marker>
          <c:trendline>
            <c:spPr>
              <a:ln w="19050" cap="flat" cmpd="sng" algn="ctr">
                <a:solidFill>
                  <a:schemeClr val="accent2"/>
                </a:solidFill>
                <a:prstDash val="solid"/>
                <a:miter lim="800000"/>
              </a:ln>
              <a:effectLst/>
            </c:spPr>
            <c:trendlineType val="linear"/>
            <c:dispRSqr val="0"/>
            <c:dispEq val="0"/>
          </c:trendline>
          <c:cat>
            <c:multiLvlStrRef>
              <c:f>'1.4 -Proy. hormigon 2024 - 2028'!$B$118:$C$177</c:f>
              <c:multiLvlStrCache>
                <c:ptCount val="60"/>
                <c:lvl>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pt idx="12">
                    <c:v>Enero</c:v>
                  </c:pt>
                  <c:pt idx="13">
                    <c:v>Febrero</c:v>
                  </c:pt>
                  <c:pt idx="14">
                    <c:v>Marzo</c:v>
                  </c:pt>
                  <c:pt idx="15">
                    <c:v>Abril</c:v>
                  </c:pt>
                  <c:pt idx="16">
                    <c:v>Mayo</c:v>
                  </c:pt>
                  <c:pt idx="17">
                    <c:v>Junio</c:v>
                  </c:pt>
                  <c:pt idx="18">
                    <c:v>Julio</c:v>
                  </c:pt>
                  <c:pt idx="19">
                    <c:v>Agosto</c:v>
                  </c:pt>
                  <c:pt idx="20">
                    <c:v>Septiembre</c:v>
                  </c:pt>
                  <c:pt idx="21">
                    <c:v>Octubre</c:v>
                  </c:pt>
                  <c:pt idx="22">
                    <c:v>Noviembre</c:v>
                  </c:pt>
                  <c:pt idx="23">
                    <c:v>Diciembre</c:v>
                  </c:pt>
                  <c:pt idx="24">
                    <c:v>Enero</c:v>
                  </c:pt>
                  <c:pt idx="25">
                    <c:v>Febrero</c:v>
                  </c:pt>
                  <c:pt idx="26">
                    <c:v>Marzo</c:v>
                  </c:pt>
                  <c:pt idx="27">
                    <c:v>Abril</c:v>
                  </c:pt>
                  <c:pt idx="28">
                    <c:v>Mayo</c:v>
                  </c:pt>
                  <c:pt idx="29">
                    <c:v>Junio</c:v>
                  </c:pt>
                  <c:pt idx="30">
                    <c:v>Julio</c:v>
                  </c:pt>
                  <c:pt idx="31">
                    <c:v>Agosto</c:v>
                  </c:pt>
                  <c:pt idx="32">
                    <c:v>Septiembre</c:v>
                  </c:pt>
                  <c:pt idx="33">
                    <c:v>Octubre</c:v>
                  </c:pt>
                  <c:pt idx="34">
                    <c:v>Noviembre</c:v>
                  </c:pt>
                  <c:pt idx="35">
                    <c:v>Diciembre</c:v>
                  </c:pt>
                  <c:pt idx="36">
                    <c:v>Enero</c:v>
                  </c:pt>
                  <c:pt idx="37">
                    <c:v>Febrero</c:v>
                  </c:pt>
                  <c:pt idx="38">
                    <c:v>Marzo</c:v>
                  </c:pt>
                  <c:pt idx="39">
                    <c:v>Abril</c:v>
                  </c:pt>
                  <c:pt idx="40">
                    <c:v>Mayo</c:v>
                  </c:pt>
                  <c:pt idx="41">
                    <c:v>Junio</c:v>
                  </c:pt>
                  <c:pt idx="42">
                    <c:v>Julio</c:v>
                  </c:pt>
                  <c:pt idx="43">
                    <c:v>Agosto</c:v>
                  </c:pt>
                  <c:pt idx="44">
                    <c:v>Septiembre</c:v>
                  </c:pt>
                  <c:pt idx="45">
                    <c:v>Octubre</c:v>
                  </c:pt>
                  <c:pt idx="46">
                    <c:v>Noviembre</c:v>
                  </c:pt>
                  <c:pt idx="47">
                    <c:v>Diciembre</c:v>
                  </c:pt>
                  <c:pt idx="48">
                    <c:v>Enero</c:v>
                  </c:pt>
                  <c:pt idx="49">
                    <c:v>Febrero</c:v>
                  </c:pt>
                  <c:pt idx="50">
                    <c:v>Marzo</c:v>
                  </c:pt>
                  <c:pt idx="51">
                    <c:v>Abril</c:v>
                  </c:pt>
                  <c:pt idx="52">
                    <c:v>Mayo</c:v>
                  </c:pt>
                  <c:pt idx="53">
                    <c:v>Junio</c:v>
                  </c:pt>
                  <c:pt idx="54">
                    <c:v>Julio</c:v>
                  </c:pt>
                  <c:pt idx="55">
                    <c:v>Agosto</c:v>
                  </c:pt>
                  <c:pt idx="56">
                    <c:v>Septiembre</c:v>
                  </c:pt>
                  <c:pt idx="57">
                    <c:v>Octubre</c:v>
                  </c:pt>
                  <c:pt idx="58">
                    <c:v>Noviembre</c:v>
                  </c:pt>
                  <c:pt idx="59">
                    <c:v>Diciembre</c:v>
                  </c:pt>
                </c:lvl>
                <c:lvl>
                  <c:pt idx="0">
                    <c:v>2024</c:v>
                  </c:pt>
                  <c:pt idx="12">
                    <c:v>2025</c:v>
                  </c:pt>
                  <c:pt idx="24">
                    <c:v>2026</c:v>
                  </c:pt>
                  <c:pt idx="36">
                    <c:v>2027</c:v>
                  </c:pt>
                  <c:pt idx="48">
                    <c:v>2028</c:v>
                  </c:pt>
                </c:lvl>
              </c:multiLvlStrCache>
            </c:multiLvlStrRef>
          </c:cat>
          <c:val>
            <c:numRef>
              <c:f>'1.4 -Proy. hormigon 2024 - 2028'!$D$118:$D$177</c:f>
              <c:numCache>
                <c:formatCode>0.0</c:formatCode>
                <c:ptCount val="60"/>
                <c:pt idx="0">
                  <c:v>202.14607470758517</c:v>
                </c:pt>
                <c:pt idx="1">
                  <c:v>201.87425278515565</c:v>
                </c:pt>
                <c:pt idx="2">
                  <c:v>237.88963487215511</c:v>
                </c:pt>
                <c:pt idx="3">
                  <c:v>226.2349552830087</c:v>
                </c:pt>
                <c:pt idx="4">
                  <c:v>235.06806963264904</c:v>
                </c:pt>
                <c:pt idx="5">
                  <c:v>261.94375078622801</c:v>
                </c:pt>
                <c:pt idx="6">
                  <c:v>260.35011871034311</c:v>
                </c:pt>
                <c:pt idx="7">
                  <c:v>288.27703761118232</c:v>
                </c:pt>
                <c:pt idx="8">
                  <c:v>274.25210851897015</c:v>
                </c:pt>
                <c:pt idx="9">
                  <c:v>262.01732921257985</c:v>
                </c:pt>
                <c:pt idx="10">
                  <c:v>272.06170707729751</c:v>
                </c:pt>
                <c:pt idx="11">
                  <c:v>222.60056997119614</c:v>
                </c:pt>
                <c:pt idx="12">
                  <c:v>213.57286576694844</c:v>
                </c:pt>
                <c:pt idx="13">
                  <c:v>213.23217564307805</c:v>
                </c:pt>
                <c:pt idx="14">
                  <c:v>251.21140875433019</c:v>
                </c:pt>
                <c:pt idx="15">
                  <c:v>238.8452216377774</c:v>
                </c:pt>
                <c:pt idx="16">
                  <c:v>248.11011110004821</c:v>
                </c:pt>
                <c:pt idx="17">
                  <c:v>276.41002341907813</c:v>
                </c:pt>
                <c:pt idx="18">
                  <c:v>274.66251162363045</c:v>
                </c:pt>
                <c:pt idx="19">
                  <c:v>304.0524057127837</c:v>
                </c:pt>
                <c:pt idx="20">
                  <c:v>289.19186227336849</c:v>
                </c:pt>
                <c:pt idx="21">
                  <c:v>276.2260978288287</c:v>
                </c:pt>
                <c:pt idx="22">
                  <c:v>286.74879439573948</c:v>
                </c:pt>
                <c:pt idx="23">
                  <c:v>234.56370903596701</c:v>
                </c:pt>
                <c:pt idx="24">
                  <c:v>224.99965682631168</c:v>
                </c:pt>
                <c:pt idx="25">
                  <c:v>224.59009850100048</c:v>
                </c:pt>
                <c:pt idx="26">
                  <c:v>264.53318263650527</c:v>
                </c:pt>
                <c:pt idx="27">
                  <c:v>251.45548799254613</c:v>
                </c:pt>
                <c:pt idx="28">
                  <c:v>261.15215256744739</c:v>
                </c:pt>
                <c:pt idx="29">
                  <c:v>290.87629605192831</c:v>
                </c:pt>
                <c:pt idx="30">
                  <c:v>288.97490453691773</c:v>
                </c:pt>
                <c:pt idx="31">
                  <c:v>319.82777381438495</c:v>
                </c:pt>
                <c:pt idx="32">
                  <c:v>304.13161602776682</c:v>
                </c:pt>
                <c:pt idx="33">
                  <c:v>290.43486644507743</c:v>
                </c:pt>
                <c:pt idx="34">
                  <c:v>301.43588171418133</c:v>
                </c:pt>
                <c:pt idx="35">
                  <c:v>246.52684810073779</c:v>
                </c:pt>
                <c:pt idx="36">
                  <c:v>236.42644788567497</c:v>
                </c:pt>
                <c:pt idx="37">
                  <c:v>235.94802135892286</c:v>
                </c:pt>
                <c:pt idx="38">
                  <c:v>277.85495651868035</c:v>
                </c:pt>
                <c:pt idx="39">
                  <c:v>264.06575434731479</c:v>
                </c:pt>
                <c:pt idx="40">
                  <c:v>274.19419403484659</c:v>
                </c:pt>
                <c:pt idx="41">
                  <c:v>305.34256868477837</c:v>
                </c:pt>
                <c:pt idx="42">
                  <c:v>303.28729745020513</c:v>
                </c:pt>
                <c:pt idx="43">
                  <c:v>335.60314191598633</c:v>
                </c:pt>
                <c:pt idx="44">
                  <c:v>319.07136978216516</c:v>
                </c:pt>
                <c:pt idx="45">
                  <c:v>304.64363506132622</c:v>
                </c:pt>
                <c:pt idx="46">
                  <c:v>316.1229690326233</c:v>
                </c:pt>
                <c:pt idx="47">
                  <c:v>258.48998716550864</c:v>
                </c:pt>
                <c:pt idx="48">
                  <c:v>247.85323894503827</c:v>
                </c:pt>
                <c:pt idx="49">
                  <c:v>247.30594421684529</c:v>
                </c:pt>
                <c:pt idx="50">
                  <c:v>291.17673040085549</c:v>
                </c:pt>
                <c:pt idx="51">
                  <c:v>276.67602070208346</c:v>
                </c:pt>
                <c:pt idx="52">
                  <c:v>287.23623550224579</c:v>
                </c:pt>
                <c:pt idx="53">
                  <c:v>319.80884131762849</c:v>
                </c:pt>
                <c:pt idx="54">
                  <c:v>317.59969036349247</c:v>
                </c:pt>
                <c:pt idx="55">
                  <c:v>351.37851001758759</c:v>
                </c:pt>
                <c:pt idx="56">
                  <c:v>334.01112353656345</c:v>
                </c:pt>
                <c:pt idx="57">
                  <c:v>318.85240367757496</c:v>
                </c:pt>
                <c:pt idx="58">
                  <c:v>330.81005635106521</c:v>
                </c:pt>
                <c:pt idx="59">
                  <c:v>270.45312623027945</c:v>
                </c:pt>
              </c:numCache>
            </c:numRef>
          </c:val>
          <c:smooth val="0"/>
          <c:extLst>
            <c:ext xmlns:c16="http://schemas.microsoft.com/office/drawing/2014/chart" uri="{C3380CC4-5D6E-409C-BE32-E72D297353CC}">
              <c16:uniqueId val="{00000000-8483-4B0B-ADC2-953B53293E49}"/>
            </c:ext>
          </c:extLst>
        </c:ser>
        <c:dLbls>
          <c:showLegendKey val="0"/>
          <c:showVal val="0"/>
          <c:showCatName val="0"/>
          <c:showSerName val="0"/>
          <c:showPercent val="0"/>
          <c:showBubbleSize val="0"/>
        </c:dLbls>
        <c:smooth val="0"/>
        <c:axId val="763120568"/>
        <c:axId val="763118048"/>
      </c:lineChart>
      <c:catAx>
        <c:axId val="763120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763118048"/>
        <c:crosses val="autoZero"/>
        <c:auto val="1"/>
        <c:lblAlgn val="ctr"/>
        <c:lblOffset val="100"/>
        <c:noMultiLvlLbl val="0"/>
      </c:catAx>
      <c:valAx>
        <c:axId val="76311804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76312056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A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chart" Target="../charts/chart15.xml"/><Relationship Id="rId4" Type="http://schemas.openxmlformats.org/officeDocument/2006/relationships/chart" Target="../charts/chart18.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19.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2" Type="http://schemas.openxmlformats.org/officeDocument/2006/relationships/chart" Target="../charts/chart9.xml"/><Relationship Id="rId1" Type="http://schemas.openxmlformats.org/officeDocument/2006/relationships/chart" Target="../charts/chart8.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0.xml"/><Relationship Id="rId7" Type="http://schemas.openxmlformats.org/officeDocument/2006/relationships/chart" Target="../charts/chart14.xml"/><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chart" Target="../charts/chart13.xml"/><Relationship Id="rId5" Type="http://schemas.openxmlformats.org/officeDocument/2006/relationships/chart" Target="../charts/chart12.xml"/><Relationship Id="rId4"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xdr:from>
      <xdr:col>4</xdr:col>
      <xdr:colOff>365760</xdr:colOff>
      <xdr:row>3</xdr:row>
      <xdr:rowOff>11430</xdr:rowOff>
    </xdr:from>
    <xdr:to>
      <xdr:col>11</xdr:col>
      <xdr:colOff>662940</xdr:colOff>
      <xdr:row>19</xdr:row>
      <xdr:rowOff>68580</xdr:rowOff>
    </xdr:to>
    <xdr:graphicFrame macro="">
      <xdr:nvGraphicFramePr>
        <xdr:cNvPr id="2" name="Gráfico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419100</xdr:colOff>
      <xdr:row>20</xdr:row>
      <xdr:rowOff>160020</xdr:rowOff>
    </xdr:from>
    <xdr:to>
      <xdr:col>11</xdr:col>
      <xdr:colOff>640080</xdr:colOff>
      <xdr:row>29</xdr:row>
      <xdr:rowOff>91440</xdr:rowOff>
    </xdr:to>
    <xdr:sp macro="" textlink="">
      <xdr:nvSpPr>
        <xdr:cNvPr id="3" name="CuadroTexto 2">
          <a:extLst>
            <a:ext uri="{FF2B5EF4-FFF2-40B4-BE49-F238E27FC236}">
              <a16:creationId xmlns:a16="http://schemas.microsoft.com/office/drawing/2014/main" id="{00000000-0008-0000-0100-000003000000}"/>
            </a:ext>
          </a:extLst>
        </xdr:cNvPr>
        <xdr:cNvSpPr txBox="1"/>
      </xdr:nvSpPr>
      <xdr:spPr>
        <a:xfrm>
          <a:off x="3497580" y="3718560"/>
          <a:ext cx="5768340" cy="15849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b="1"/>
            <a:t>Fuente:</a:t>
          </a:r>
          <a:r>
            <a:rPr lang="es-AR" sz="1100" b="1" baseline="0"/>
            <a:t> </a:t>
          </a:r>
          <a:r>
            <a:rPr lang="es-AR" sz="1100" baseline="0"/>
            <a:t>IERIC. Sacado de la camara argentina de la construccion. Empresas inscriptas en el IERIC.</a:t>
          </a:r>
        </a:p>
        <a:p>
          <a:endParaRPr lang="es-AR" sz="1100" baseline="0"/>
        </a:p>
        <a:p>
          <a:r>
            <a:rPr lang="es-AR" sz="1100" b="1" baseline="0"/>
            <a:t>Tema a tener en cuenta: </a:t>
          </a:r>
          <a:r>
            <a:rPr lang="es-AR" sz="1100" baseline="0"/>
            <a:t>Empresa tipo A o B, cambia dependiendo del tipo societario. </a:t>
          </a:r>
        </a:p>
        <a:p>
          <a:endParaRPr lang="es-AR" sz="1100" baseline="0"/>
        </a:p>
        <a:p>
          <a:r>
            <a:rPr lang="es-AR" sz="1100" b="1" baseline="0"/>
            <a:t>¿Para que analizar la cantidad de empresas? </a:t>
          </a:r>
          <a:r>
            <a:rPr lang="es-AR" sz="1100" baseline="0"/>
            <a:t>Para poder entender cuáles serian nuestros posibles clientes, que en este caso son las empresas constructoras. Si se observa la linea de tendencia, podemos establecer que la cantidad de empresas constructoras esta en caída, sin embargo, el transcurso de la pandemia fue en parte el principal problema de las mismas.</a:t>
          </a:r>
          <a:endParaRPr lang="es-AR" sz="1100"/>
        </a:p>
      </xdr:txBody>
    </xdr:sp>
    <xdr:clientData/>
  </xdr:twoCellAnchor>
  <xdr:twoCellAnchor>
    <xdr:from>
      <xdr:col>4</xdr:col>
      <xdr:colOff>426720</xdr:colOff>
      <xdr:row>30</xdr:row>
      <xdr:rowOff>49530</xdr:rowOff>
    </xdr:from>
    <xdr:to>
      <xdr:col>11</xdr:col>
      <xdr:colOff>678180</xdr:colOff>
      <xdr:row>46</xdr:row>
      <xdr:rowOff>106680</xdr:rowOff>
    </xdr:to>
    <xdr:graphicFrame macro="">
      <xdr:nvGraphicFramePr>
        <xdr:cNvPr id="4" name="Gráfico 3">
          <a:extLst>
            <a:ext uri="{FF2B5EF4-FFF2-40B4-BE49-F238E27FC236}">
              <a16:creationId xmlns:a16="http://schemas.microsoft.com/office/drawing/2014/main" id="{00000000-0008-0000-0100-000004000000}"/>
            </a:ext>
            <a:ext uri="{147F2762-F138-4A5C-976F-8EAC2B608ADB}">
              <a16:predDERef xmlns:a16="http://schemas.microsoft.com/office/drawing/2014/main" pre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495300</xdr:colOff>
      <xdr:row>47</xdr:row>
      <xdr:rowOff>91440</xdr:rowOff>
    </xdr:from>
    <xdr:to>
      <xdr:col>11</xdr:col>
      <xdr:colOff>716280</xdr:colOff>
      <xdr:row>51</xdr:row>
      <xdr:rowOff>30480</xdr:rowOff>
    </xdr:to>
    <xdr:sp macro="" textlink="">
      <xdr:nvSpPr>
        <xdr:cNvPr id="5" name="CuadroTexto 4">
          <a:extLst>
            <a:ext uri="{FF2B5EF4-FFF2-40B4-BE49-F238E27FC236}">
              <a16:creationId xmlns:a16="http://schemas.microsoft.com/office/drawing/2014/main" id="{00000000-0008-0000-0100-000005000000}"/>
            </a:ext>
          </a:extLst>
        </xdr:cNvPr>
        <xdr:cNvSpPr txBox="1"/>
      </xdr:nvSpPr>
      <xdr:spPr>
        <a:xfrm>
          <a:off x="3573780" y="8602980"/>
          <a:ext cx="5768340" cy="6705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b="0"/>
            <a:t>Si</a:t>
          </a:r>
          <a:r>
            <a:rPr lang="es-AR" sz="1100" b="0" baseline="0"/>
            <a:t> se analizan los ultimos dos años, se pude observar un leve crecimiento en el total de empresas, producto de que gran parte de ellas se han podido recuperar posterior al 2020, con un promedio alrededor de las 20 mil empresas constructoras trabajando en el sector.</a:t>
          </a:r>
          <a:endParaRPr lang="es-AR" sz="1100" b="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11</xdr:col>
      <xdr:colOff>222885</xdr:colOff>
      <xdr:row>3</xdr:row>
      <xdr:rowOff>5715</xdr:rowOff>
    </xdr:from>
    <xdr:to>
      <xdr:col>16</xdr:col>
      <xdr:colOff>510540</xdr:colOff>
      <xdr:row>8</xdr:row>
      <xdr:rowOff>28575</xdr:rowOff>
    </xdr:to>
    <xdr:sp macro="" textlink="">
      <xdr:nvSpPr>
        <xdr:cNvPr id="3" name="CuadroTexto 2">
          <a:extLst>
            <a:ext uri="{FF2B5EF4-FFF2-40B4-BE49-F238E27FC236}">
              <a16:creationId xmlns:a16="http://schemas.microsoft.com/office/drawing/2014/main" id="{00000000-0008-0000-0700-000003000000}"/>
            </a:ext>
          </a:extLst>
        </xdr:cNvPr>
        <xdr:cNvSpPr txBox="1"/>
      </xdr:nvSpPr>
      <xdr:spPr>
        <a:xfrm>
          <a:off x="10157460" y="577215"/>
          <a:ext cx="4240530" cy="10801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a:t>La clasificacion y rango de proveedores esta evaluada y priorizada en cuanto a nuestras necesidades. De acuerdo a la politica de calidad que establece cada empresa, antiguedad en el mercado, relacion con clientes y sobre todo, precio. Ademas, la flexible visualizacion de informacion que ofrece cada empresa.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322734</xdr:colOff>
      <xdr:row>12</xdr:row>
      <xdr:rowOff>268944</xdr:rowOff>
    </xdr:from>
    <xdr:to>
      <xdr:col>5</xdr:col>
      <xdr:colOff>717177</xdr:colOff>
      <xdr:row>14</xdr:row>
      <xdr:rowOff>322728</xdr:rowOff>
    </xdr:to>
    <xdr:cxnSp macro="">
      <xdr:nvCxnSpPr>
        <xdr:cNvPr id="2" name="Conector: angular 1">
          <a:extLst>
            <a:ext uri="{FF2B5EF4-FFF2-40B4-BE49-F238E27FC236}">
              <a16:creationId xmlns:a16="http://schemas.microsoft.com/office/drawing/2014/main" id="{F8EE45B9-BDC1-4A07-9914-84948CA4646A}"/>
            </a:ext>
          </a:extLst>
        </xdr:cNvPr>
        <xdr:cNvCxnSpPr/>
      </xdr:nvCxnSpPr>
      <xdr:spPr>
        <a:xfrm rot="16200000" flipH="1">
          <a:off x="4489754" y="3043744"/>
          <a:ext cx="686244" cy="394443"/>
        </a:xfrm>
        <a:prstGeom prst="bentConnector3">
          <a:avLst>
            <a:gd name="adj1" fmla="val 9898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xdr:colOff>
      <xdr:row>10</xdr:row>
      <xdr:rowOff>286871</xdr:rowOff>
    </xdr:from>
    <xdr:to>
      <xdr:col>6</xdr:col>
      <xdr:colOff>8966</xdr:colOff>
      <xdr:row>10</xdr:row>
      <xdr:rowOff>286871</xdr:rowOff>
    </xdr:to>
    <xdr:cxnSp macro="">
      <xdr:nvCxnSpPr>
        <xdr:cNvPr id="3" name="Conector recto de flecha 2">
          <a:extLst>
            <a:ext uri="{FF2B5EF4-FFF2-40B4-BE49-F238E27FC236}">
              <a16:creationId xmlns:a16="http://schemas.microsoft.com/office/drawing/2014/main" id="{043FE4FF-1B9A-43F4-8470-3C12646BD0AC}"/>
            </a:ext>
          </a:extLst>
        </xdr:cNvPr>
        <xdr:cNvCxnSpPr/>
      </xdr:nvCxnSpPr>
      <xdr:spPr>
        <a:xfrm>
          <a:off x="4312921" y="2283311"/>
          <a:ext cx="74810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322734</xdr:colOff>
      <xdr:row>10</xdr:row>
      <xdr:rowOff>295837</xdr:rowOff>
    </xdr:from>
    <xdr:to>
      <xdr:col>6</xdr:col>
      <xdr:colOff>8966</xdr:colOff>
      <xdr:row>12</xdr:row>
      <xdr:rowOff>266251</xdr:rowOff>
    </xdr:to>
    <xdr:cxnSp macro="">
      <xdr:nvCxnSpPr>
        <xdr:cNvPr id="4" name="Conector: angular 3">
          <a:extLst>
            <a:ext uri="{FF2B5EF4-FFF2-40B4-BE49-F238E27FC236}">
              <a16:creationId xmlns:a16="http://schemas.microsoft.com/office/drawing/2014/main" id="{4BE9680A-67E2-4CEE-8037-642D3F730397}"/>
            </a:ext>
          </a:extLst>
        </xdr:cNvPr>
        <xdr:cNvCxnSpPr/>
      </xdr:nvCxnSpPr>
      <xdr:spPr>
        <a:xfrm rot="16200000" flipH="1">
          <a:off x="4546903" y="2381028"/>
          <a:ext cx="602874" cy="425372"/>
        </a:xfrm>
        <a:prstGeom prst="bentConnector3">
          <a:avLst>
            <a:gd name="adj1" fmla="val 99606"/>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320040</xdr:colOff>
      <xdr:row>16</xdr:row>
      <xdr:rowOff>243844</xdr:rowOff>
    </xdr:from>
    <xdr:to>
      <xdr:col>5</xdr:col>
      <xdr:colOff>739139</xdr:colOff>
      <xdr:row>18</xdr:row>
      <xdr:rowOff>304800</xdr:rowOff>
    </xdr:to>
    <xdr:cxnSp macro="">
      <xdr:nvCxnSpPr>
        <xdr:cNvPr id="5" name="Conector: angular 4">
          <a:extLst>
            <a:ext uri="{FF2B5EF4-FFF2-40B4-BE49-F238E27FC236}">
              <a16:creationId xmlns:a16="http://schemas.microsoft.com/office/drawing/2014/main" id="{ADCD1B18-00E7-4764-B890-303CDC32F3CC}"/>
            </a:ext>
          </a:extLst>
        </xdr:cNvPr>
        <xdr:cNvCxnSpPr/>
      </xdr:nvCxnSpPr>
      <xdr:spPr>
        <a:xfrm rot="16200000" flipH="1">
          <a:off x="4495802" y="4274822"/>
          <a:ext cx="693416" cy="419099"/>
        </a:xfrm>
        <a:prstGeom prst="bentConnector3">
          <a:avLst>
            <a:gd name="adj1" fmla="val 99138"/>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320042</xdr:colOff>
      <xdr:row>14</xdr:row>
      <xdr:rowOff>174176</xdr:rowOff>
    </xdr:from>
    <xdr:to>
      <xdr:col>5</xdr:col>
      <xdr:colOff>731520</xdr:colOff>
      <xdr:row>16</xdr:row>
      <xdr:rowOff>297180</xdr:rowOff>
    </xdr:to>
    <xdr:cxnSp macro="">
      <xdr:nvCxnSpPr>
        <xdr:cNvPr id="6" name="Conector: angular 5">
          <a:extLst>
            <a:ext uri="{FF2B5EF4-FFF2-40B4-BE49-F238E27FC236}">
              <a16:creationId xmlns:a16="http://schemas.microsoft.com/office/drawing/2014/main" id="{4D63F651-8D23-48DE-99AC-5ACE481C2186}"/>
            </a:ext>
          </a:extLst>
        </xdr:cNvPr>
        <xdr:cNvCxnSpPr/>
      </xdr:nvCxnSpPr>
      <xdr:spPr>
        <a:xfrm rot="16200000" flipH="1">
          <a:off x="4460969" y="3607529"/>
          <a:ext cx="755464" cy="411478"/>
        </a:xfrm>
        <a:prstGeom prst="bentConnector3">
          <a:avLst>
            <a:gd name="adj1" fmla="val 100748"/>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11207</xdr:colOff>
      <xdr:row>8</xdr:row>
      <xdr:rowOff>277906</xdr:rowOff>
    </xdr:from>
    <xdr:to>
      <xdr:col>3</xdr:col>
      <xdr:colOff>719419</xdr:colOff>
      <xdr:row>8</xdr:row>
      <xdr:rowOff>277906</xdr:rowOff>
    </xdr:to>
    <xdr:cxnSp macro="">
      <xdr:nvCxnSpPr>
        <xdr:cNvPr id="7" name="Conector recto de flecha 6">
          <a:extLst>
            <a:ext uri="{FF2B5EF4-FFF2-40B4-BE49-F238E27FC236}">
              <a16:creationId xmlns:a16="http://schemas.microsoft.com/office/drawing/2014/main" id="{C7CC70C5-53D0-4C13-BB21-7C77E59FA34F}"/>
            </a:ext>
          </a:extLst>
        </xdr:cNvPr>
        <xdr:cNvCxnSpPr/>
      </xdr:nvCxnSpPr>
      <xdr:spPr>
        <a:xfrm>
          <a:off x="2563907" y="1641886"/>
          <a:ext cx="708212"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358587</xdr:colOff>
      <xdr:row>8</xdr:row>
      <xdr:rowOff>286871</xdr:rowOff>
    </xdr:from>
    <xdr:to>
      <xdr:col>4</xdr:col>
      <xdr:colOff>5826</xdr:colOff>
      <xdr:row>10</xdr:row>
      <xdr:rowOff>248321</xdr:rowOff>
    </xdr:to>
    <xdr:cxnSp macro="">
      <xdr:nvCxnSpPr>
        <xdr:cNvPr id="8" name="Conector: angular 7">
          <a:extLst>
            <a:ext uri="{FF2B5EF4-FFF2-40B4-BE49-F238E27FC236}">
              <a16:creationId xmlns:a16="http://schemas.microsoft.com/office/drawing/2014/main" id="{8D982DAB-0E91-4045-AD54-69E66BFC18A9}"/>
            </a:ext>
          </a:extLst>
        </xdr:cNvPr>
        <xdr:cNvCxnSpPr/>
      </xdr:nvCxnSpPr>
      <xdr:spPr>
        <a:xfrm rot="16200000" flipH="1">
          <a:off x="2807522" y="1754616"/>
          <a:ext cx="593910" cy="386379"/>
        </a:xfrm>
        <a:prstGeom prst="bentConnector3">
          <a:avLst>
            <a:gd name="adj1" fmla="val 98934"/>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481149</xdr:colOff>
      <xdr:row>3</xdr:row>
      <xdr:rowOff>76200</xdr:rowOff>
    </xdr:from>
    <xdr:to>
      <xdr:col>2</xdr:col>
      <xdr:colOff>624840</xdr:colOff>
      <xdr:row>3</xdr:row>
      <xdr:rowOff>529499</xdr:rowOff>
    </xdr:to>
    <xdr:pic>
      <xdr:nvPicPr>
        <xdr:cNvPr id="2" name="Imagen 1">
          <a:extLst>
            <a:ext uri="{FF2B5EF4-FFF2-40B4-BE49-F238E27FC236}">
              <a16:creationId xmlns:a16="http://schemas.microsoft.com/office/drawing/2014/main" id="{9B95C24A-D1F1-45B0-AB57-243B525AF787}"/>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0352" t="16869" r="18088" b="17464"/>
        <a:stretch/>
      </xdr:blipFill>
      <xdr:spPr bwMode="auto">
        <a:xfrm>
          <a:off x="694509" y="266700"/>
          <a:ext cx="646611" cy="453299"/>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71</xdr:col>
      <xdr:colOff>89646</xdr:colOff>
      <xdr:row>8</xdr:row>
      <xdr:rowOff>125505</xdr:rowOff>
    </xdr:from>
    <xdr:to>
      <xdr:col>71</xdr:col>
      <xdr:colOff>717175</xdr:colOff>
      <xdr:row>8</xdr:row>
      <xdr:rowOff>125505</xdr:rowOff>
    </xdr:to>
    <xdr:cxnSp macro="">
      <xdr:nvCxnSpPr>
        <xdr:cNvPr id="2" name="Conector recto de flecha 1">
          <a:extLst>
            <a:ext uri="{FF2B5EF4-FFF2-40B4-BE49-F238E27FC236}">
              <a16:creationId xmlns:a16="http://schemas.microsoft.com/office/drawing/2014/main" id="{36C90CD3-E6FC-483A-A67E-AE29B3439C37}"/>
            </a:ext>
          </a:extLst>
        </xdr:cNvPr>
        <xdr:cNvCxnSpPr/>
      </xdr:nvCxnSpPr>
      <xdr:spPr>
        <a:xfrm>
          <a:off x="60287646" y="1604681"/>
          <a:ext cx="627529"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80683</xdr:colOff>
      <xdr:row>23</xdr:row>
      <xdr:rowOff>71718</xdr:rowOff>
    </xdr:from>
    <xdr:to>
      <xdr:col>66</xdr:col>
      <xdr:colOff>833718</xdr:colOff>
      <xdr:row>33</xdr:row>
      <xdr:rowOff>44823</xdr:rowOff>
    </xdr:to>
    <xdr:sp macro="" textlink="">
      <xdr:nvSpPr>
        <xdr:cNvPr id="5" name="CuadroTexto 4">
          <a:extLst>
            <a:ext uri="{FF2B5EF4-FFF2-40B4-BE49-F238E27FC236}">
              <a16:creationId xmlns:a16="http://schemas.microsoft.com/office/drawing/2014/main" id="{DBBBF93F-E40E-4C86-A183-10CE7FCE2E3E}"/>
            </a:ext>
          </a:extLst>
        </xdr:cNvPr>
        <xdr:cNvSpPr txBox="1"/>
      </xdr:nvSpPr>
      <xdr:spPr>
        <a:xfrm>
          <a:off x="439271" y="4303059"/>
          <a:ext cx="6051176" cy="17839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a:t>Despues de haber analizado</a:t>
          </a:r>
          <a:r>
            <a:rPr lang="es-AR" sz="1100" baseline="0"/>
            <a:t> varias alternativas/escenarios, para poder cumplir con la demanda poryecta, pero a su vez, buscar minimizar tanto sea los costos como las inversiones a realizar. En este ultimo punto, buscamos maximizar nuestra capacidad, evitando llevar a cabo la contratacion de un nuevo turno o en su defecto la incorporacion de una nueva maquinaria, las cuales, representan situacion de mucho desenbolso de dinero. Por ultimo, las horas extras tambien son una tentativa, podria ser una opcion sobre todo para el ultimo año (2028) en caso de que la demanda sea un poco mayor a la pronosticada, pero sin embargo, sobre todo en el cumplimiento de la ley, nos es mas conveniente el stockearse meses anteriores, que hacer uso de esta opcion. Por otra parte, el contar con stock disponible, si bien resulta capital inmovilizado, podria servirnos para responder mas rapidamente a los cambios de demanda. </a:t>
          </a:r>
          <a:endParaRPr lang="es-AR" sz="1100"/>
        </a:p>
      </xdr:txBody>
    </xdr:sp>
    <xdr:clientData/>
  </xdr:twoCellAnchor>
  <xdr:twoCellAnchor>
    <xdr:from>
      <xdr:col>1</xdr:col>
      <xdr:colOff>85166</xdr:colOff>
      <xdr:row>34</xdr:row>
      <xdr:rowOff>179293</xdr:rowOff>
    </xdr:from>
    <xdr:to>
      <xdr:col>53</xdr:col>
      <xdr:colOff>354107</xdr:colOff>
      <xdr:row>50</xdr:row>
      <xdr:rowOff>53787</xdr:rowOff>
    </xdr:to>
    <xdr:graphicFrame macro="">
      <xdr:nvGraphicFramePr>
        <xdr:cNvPr id="6" name="Gráfico 5">
          <a:extLst>
            <a:ext uri="{FF2B5EF4-FFF2-40B4-BE49-F238E27FC236}">
              <a16:creationId xmlns:a16="http://schemas.microsoft.com/office/drawing/2014/main" id="{861BF88D-D1B2-B050-39D9-F0FC5929881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53</xdr:col>
      <xdr:colOff>685799</xdr:colOff>
      <xdr:row>34</xdr:row>
      <xdr:rowOff>179293</xdr:rowOff>
    </xdr:from>
    <xdr:to>
      <xdr:col>70</xdr:col>
      <xdr:colOff>358587</xdr:colOff>
      <xdr:row>50</xdr:row>
      <xdr:rowOff>71716</xdr:rowOff>
    </xdr:to>
    <xdr:graphicFrame macro="">
      <xdr:nvGraphicFramePr>
        <xdr:cNvPr id="7" name="Gráfico 6">
          <a:extLst>
            <a:ext uri="{FF2B5EF4-FFF2-40B4-BE49-F238E27FC236}">
              <a16:creationId xmlns:a16="http://schemas.microsoft.com/office/drawing/2014/main" id="{D9D9AE47-81C8-E63F-CFF5-E182F698DCE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147918</xdr:colOff>
      <xdr:row>52</xdr:row>
      <xdr:rowOff>8965</xdr:rowOff>
    </xdr:from>
    <xdr:to>
      <xdr:col>53</xdr:col>
      <xdr:colOff>466165</xdr:colOff>
      <xdr:row>67</xdr:row>
      <xdr:rowOff>89647</xdr:rowOff>
    </xdr:to>
    <xdr:graphicFrame macro="">
      <xdr:nvGraphicFramePr>
        <xdr:cNvPr id="8" name="Gráfico 7">
          <a:extLst>
            <a:ext uri="{FF2B5EF4-FFF2-40B4-BE49-F238E27FC236}">
              <a16:creationId xmlns:a16="http://schemas.microsoft.com/office/drawing/2014/main" id="{8AA020E3-58FF-D47A-52A9-21F1412655B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53</xdr:col>
      <xdr:colOff>726141</xdr:colOff>
      <xdr:row>52</xdr:row>
      <xdr:rowOff>44825</xdr:rowOff>
    </xdr:from>
    <xdr:to>
      <xdr:col>70</xdr:col>
      <xdr:colOff>376518</xdr:colOff>
      <xdr:row>61</xdr:row>
      <xdr:rowOff>134471</xdr:rowOff>
    </xdr:to>
    <xdr:sp macro="" textlink="">
      <xdr:nvSpPr>
        <xdr:cNvPr id="9" name="CuadroTexto 8">
          <a:extLst>
            <a:ext uri="{FF2B5EF4-FFF2-40B4-BE49-F238E27FC236}">
              <a16:creationId xmlns:a16="http://schemas.microsoft.com/office/drawing/2014/main" id="{42ECC7B6-F32F-C0EF-07F0-1B7C436F36D1}"/>
            </a:ext>
          </a:extLst>
        </xdr:cNvPr>
        <xdr:cNvSpPr txBox="1"/>
      </xdr:nvSpPr>
      <xdr:spPr>
        <a:xfrm>
          <a:off x="5495365" y="9511554"/>
          <a:ext cx="4805082" cy="17032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a:t>Si se analiza la situacion planteada, podemos decir, que lo que se busca es trabajar a una capacidad de fabricacion nivelada dentro de los periodos</a:t>
          </a:r>
          <a:r>
            <a:rPr lang="es-AR" sz="1100" baseline="0"/>
            <a:t> en analisis, sobre todo para evitar tener demasiada capacidad ociosa y poder hacer frente a las futuras demanadas con el inventario que se vaya sumando de los anteriores periodos. Con esta alternativa, lo que buscamos es tratar de maximizar tanto las maquinarias como los operarios con lo que cuenta la empresa, apalancandonos con nuestro stock y evitando, contratar mayor personal y compra de maquinaria, que ante un cambio en la demanda nos podria impactar.</a:t>
          </a:r>
          <a:endParaRPr lang="es-AR" sz="1100"/>
        </a:p>
      </xdr:txBody>
    </xdr:sp>
    <xdr:clientData/>
  </xdr:twoCellAnchor>
  <xdr:twoCellAnchor>
    <xdr:from>
      <xdr:col>80</xdr:col>
      <xdr:colOff>143436</xdr:colOff>
      <xdr:row>2</xdr:row>
      <xdr:rowOff>152400</xdr:rowOff>
    </xdr:from>
    <xdr:to>
      <xdr:col>80</xdr:col>
      <xdr:colOff>242047</xdr:colOff>
      <xdr:row>6</xdr:row>
      <xdr:rowOff>170329</xdr:rowOff>
    </xdr:to>
    <xdr:sp macro="" textlink="">
      <xdr:nvSpPr>
        <xdr:cNvPr id="10" name="Cerrar llave 9">
          <a:extLst>
            <a:ext uri="{FF2B5EF4-FFF2-40B4-BE49-F238E27FC236}">
              <a16:creationId xmlns:a16="http://schemas.microsoft.com/office/drawing/2014/main" id="{44D3CF3A-DF83-6CBF-94A8-1E99EA0227DE}"/>
            </a:ext>
          </a:extLst>
        </xdr:cNvPr>
        <xdr:cNvSpPr/>
      </xdr:nvSpPr>
      <xdr:spPr>
        <a:xfrm>
          <a:off x="19336871" y="510988"/>
          <a:ext cx="98611" cy="77096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s-AR" sz="1100"/>
        </a:p>
      </xdr:txBody>
    </xdr:sp>
    <xdr:clientData/>
  </xdr:twoCellAnchor>
  <xdr:twoCellAnchor>
    <xdr:from>
      <xdr:col>80</xdr:col>
      <xdr:colOff>394446</xdr:colOff>
      <xdr:row>2</xdr:row>
      <xdr:rowOff>152401</xdr:rowOff>
    </xdr:from>
    <xdr:to>
      <xdr:col>86</xdr:col>
      <xdr:colOff>475128</xdr:colOff>
      <xdr:row>10</xdr:row>
      <xdr:rowOff>17929</xdr:rowOff>
    </xdr:to>
    <xdr:sp macro="" textlink="">
      <xdr:nvSpPr>
        <xdr:cNvPr id="11" name="CuadroTexto 10">
          <a:extLst>
            <a:ext uri="{FF2B5EF4-FFF2-40B4-BE49-F238E27FC236}">
              <a16:creationId xmlns:a16="http://schemas.microsoft.com/office/drawing/2014/main" id="{85A07FB3-0894-56D3-5417-0F7CB8869403}"/>
            </a:ext>
          </a:extLst>
        </xdr:cNvPr>
        <xdr:cNvSpPr txBox="1"/>
      </xdr:nvSpPr>
      <xdr:spPr>
        <a:xfrm>
          <a:off x="19587881" y="510989"/>
          <a:ext cx="4814047" cy="13447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a:t>el sumar un turno de trabajo con dos operarios y 1 supervisor mas nos representa casi 53</a:t>
          </a:r>
          <a:r>
            <a:rPr lang="es-AR" sz="1100" baseline="0"/>
            <a:t> </a:t>
          </a:r>
          <a:r>
            <a:rPr lang="es-AR" sz="1100"/>
            <a:t>millones de pesos,</a:t>
          </a:r>
          <a:r>
            <a:rPr lang="es-AR" sz="1100" baseline="0"/>
            <a:t> por lo que, para el ultimo año de ejericicio (2028) en caso de no habernos stockeado meses anteriores, hubiera sido necesario un tercer turno (que significarian casi 19 millones) o incorporar una tercer maquina (que significan casi 39 millones y dos operarios por casi 12 millones anuales). Analizando los costos relacionados con el mantnimiento del inventario, en los 5 años de ejercicio, se encuentran cercanos a los 9 millones.</a:t>
          </a:r>
          <a:endParaRPr lang="es-AR" sz="1100"/>
        </a:p>
      </xdr:txBody>
    </xdr:sp>
    <xdr:clientData/>
  </xdr:twoCellAnchor>
  <xdr:twoCellAnchor>
    <xdr:from>
      <xdr:col>73</xdr:col>
      <xdr:colOff>80682</xdr:colOff>
      <xdr:row>18</xdr:row>
      <xdr:rowOff>98612</xdr:rowOff>
    </xdr:from>
    <xdr:to>
      <xdr:col>73</xdr:col>
      <xdr:colOff>699247</xdr:colOff>
      <xdr:row>18</xdr:row>
      <xdr:rowOff>107577</xdr:rowOff>
    </xdr:to>
    <xdr:cxnSp macro="">
      <xdr:nvCxnSpPr>
        <xdr:cNvPr id="13" name="Conector recto de flecha 12">
          <a:extLst>
            <a:ext uri="{FF2B5EF4-FFF2-40B4-BE49-F238E27FC236}">
              <a16:creationId xmlns:a16="http://schemas.microsoft.com/office/drawing/2014/main" id="{4844BC89-0764-BAC5-D1E5-80480F61A8BD}"/>
            </a:ext>
          </a:extLst>
        </xdr:cNvPr>
        <xdr:cNvCxnSpPr/>
      </xdr:nvCxnSpPr>
      <xdr:spPr>
        <a:xfrm>
          <a:off x="12640235" y="3415553"/>
          <a:ext cx="618565" cy="896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70</xdr:col>
      <xdr:colOff>541020</xdr:colOff>
      <xdr:row>35</xdr:row>
      <xdr:rowOff>3810</xdr:rowOff>
    </xdr:from>
    <xdr:to>
      <xdr:col>76</xdr:col>
      <xdr:colOff>205740</xdr:colOff>
      <xdr:row>50</xdr:row>
      <xdr:rowOff>99060</xdr:rowOff>
    </xdr:to>
    <xdr:graphicFrame macro="">
      <xdr:nvGraphicFramePr>
        <xdr:cNvPr id="4" name="Gráfico 3">
          <a:extLst>
            <a:ext uri="{FF2B5EF4-FFF2-40B4-BE49-F238E27FC236}">
              <a16:creationId xmlns:a16="http://schemas.microsoft.com/office/drawing/2014/main" id="{4547DD64-BB20-9DC1-1652-ED2566EE339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5</xdr:col>
      <xdr:colOff>627529</xdr:colOff>
      <xdr:row>4</xdr:row>
      <xdr:rowOff>107576</xdr:rowOff>
    </xdr:from>
    <xdr:to>
      <xdr:col>7</xdr:col>
      <xdr:colOff>622599</xdr:colOff>
      <xdr:row>12</xdr:row>
      <xdr:rowOff>53340</xdr:rowOff>
    </xdr:to>
    <xdr:sp macro="" textlink="">
      <xdr:nvSpPr>
        <xdr:cNvPr id="2" name="CuadroTexto 1">
          <a:extLst>
            <a:ext uri="{FF2B5EF4-FFF2-40B4-BE49-F238E27FC236}">
              <a16:creationId xmlns:a16="http://schemas.microsoft.com/office/drawing/2014/main" id="{00000000-0008-0000-0800-000002000000}"/>
            </a:ext>
          </a:extLst>
        </xdr:cNvPr>
        <xdr:cNvSpPr txBox="1"/>
      </xdr:nvSpPr>
      <xdr:spPr>
        <a:xfrm>
          <a:off x="6391835" y="475129"/>
          <a:ext cx="3114788" cy="15056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a:t>En primer instancia</a:t>
          </a:r>
          <a:r>
            <a:rPr lang="es-AR" sz="1100" baseline="0"/>
            <a:t> se analizan los tiempos que tarda la maquinaria en realizar la inyeccion, ademas de la consideracion de los tiempos de preparacion y desmolde de la misma. No se considera en este punto el tiempo de enbalaje o armado de pallets, ya que, nuestro cuello de botella es la maquina.</a:t>
          </a:r>
          <a:endParaRPr lang="es-AR" sz="1100"/>
        </a:p>
      </xdr:txBody>
    </xdr:sp>
    <xdr:clientData/>
  </xdr:twoCellAnchor>
  <xdr:twoCellAnchor>
    <xdr:from>
      <xdr:col>5</xdr:col>
      <xdr:colOff>184673</xdr:colOff>
      <xdr:row>3</xdr:row>
      <xdr:rowOff>88303</xdr:rowOff>
    </xdr:from>
    <xdr:to>
      <xdr:col>5</xdr:col>
      <xdr:colOff>474233</xdr:colOff>
      <xdr:row>13</xdr:row>
      <xdr:rowOff>34963</xdr:rowOff>
    </xdr:to>
    <xdr:sp macro="" textlink="">
      <xdr:nvSpPr>
        <xdr:cNvPr id="3" name="Cerrar llave 2">
          <a:extLst>
            <a:ext uri="{FF2B5EF4-FFF2-40B4-BE49-F238E27FC236}">
              <a16:creationId xmlns:a16="http://schemas.microsoft.com/office/drawing/2014/main" id="{00000000-0008-0000-0800-000003000000}"/>
            </a:ext>
          </a:extLst>
        </xdr:cNvPr>
        <xdr:cNvSpPr/>
      </xdr:nvSpPr>
      <xdr:spPr>
        <a:xfrm>
          <a:off x="5948979" y="276562"/>
          <a:ext cx="289560" cy="1874072"/>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es-AR" sz="1100"/>
        </a:p>
      </xdr:txBody>
    </xdr:sp>
    <xdr:clientData/>
  </xdr:twoCellAnchor>
  <xdr:twoCellAnchor>
    <xdr:from>
      <xdr:col>4</xdr:col>
      <xdr:colOff>107577</xdr:colOff>
      <xdr:row>18</xdr:row>
      <xdr:rowOff>80682</xdr:rowOff>
    </xdr:from>
    <xdr:to>
      <xdr:col>4</xdr:col>
      <xdr:colOff>1201271</xdr:colOff>
      <xdr:row>18</xdr:row>
      <xdr:rowOff>98611</xdr:rowOff>
    </xdr:to>
    <xdr:cxnSp macro="">
      <xdr:nvCxnSpPr>
        <xdr:cNvPr id="9" name="Conector recto de flecha 8">
          <a:extLst>
            <a:ext uri="{FF2B5EF4-FFF2-40B4-BE49-F238E27FC236}">
              <a16:creationId xmlns:a16="http://schemas.microsoft.com/office/drawing/2014/main" id="{00000000-0008-0000-0800-000009000000}"/>
            </a:ext>
          </a:extLst>
        </xdr:cNvPr>
        <xdr:cNvCxnSpPr/>
      </xdr:nvCxnSpPr>
      <xdr:spPr>
        <a:xfrm>
          <a:off x="4733365" y="3290047"/>
          <a:ext cx="1093694" cy="1792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478974</xdr:colOff>
      <xdr:row>2</xdr:row>
      <xdr:rowOff>120381</xdr:rowOff>
    </xdr:from>
    <xdr:to>
      <xdr:col>13</xdr:col>
      <xdr:colOff>468086</xdr:colOff>
      <xdr:row>34</xdr:row>
      <xdr:rowOff>26893</xdr:rowOff>
    </xdr:to>
    <xdr:sp macro="" textlink="">
      <xdr:nvSpPr>
        <xdr:cNvPr id="12" name="CuadroTexto 11">
          <a:extLst>
            <a:ext uri="{FF2B5EF4-FFF2-40B4-BE49-F238E27FC236}">
              <a16:creationId xmlns:a16="http://schemas.microsoft.com/office/drawing/2014/main" id="{00000000-0008-0000-0800-00000C000000}"/>
            </a:ext>
          </a:extLst>
        </xdr:cNvPr>
        <xdr:cNvSpPr txBox="1"/>
      </xdr:nvSpPr>
      <xdr:spPr>
        <a:xfrm>
          <a:off x="10716668" y="478969"/>
          <a:ext cx="6094077" cy="60114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a:t>Sector productivo incluye tanto sea la parte operativa</a:t>
          </a:r>
          <a:r>
            <a:rPr lang="es-AR" sz="1100" baseline="0"/>
            <a:t> como logistica y mantenimeinto. En el caso del sector no productivo se incluyen todas las demas areas. </a:t>
          </a:r>
        </a:p>
        <a:p>
          <a:r>
            <a:rPr lang="es-AR" sz="1100" baseline="0"/>
            <a:t>Consideraciones: </a:t>
          </a:r>
        </a:p>
        <a:p>
          <a:r>
            <a:rPr lang="es-AR" sz="1100" b="1" u="sng" baseline="0"/>
            <a:t>Año 2024</a:t>
          </a:r>
        </a:p>
        <a:p>
          <a:r>
            <a:rPr lang="es-AR" sz="1100" b="1" u="sng" baseline="0"/>
            <a:t>Sector Productivo: </a:t>
          </a:r>
          <a:r>
            <a:rPr lang="es-AR" sz="1100" baseline="0"/>
            <a:t>1 operador de máquina - 1 responsable del departamento de manufactura - 1 operador de logística.</a:t>
          </a:r>
        </a:p>
        <a:p>
          <a:pPr marL="0" marR="0" lvl="0" indent="0" defTabSz="914400" eaLnBrk="1" fontAlgn="auto" latinLnBrk="0" hangingPunct="1">
            <a:lnSpc>
              <a:spcPct val="100000"/>
            </a:lnSpc>
            <a:spcBef>
              <a:spcPts val="0"/>
            </a:spcBef>
            <a:spcAft>
              <a:spcPts val="0"/>
            </a:spcAft>
            <a:buClrTx/>
            <a:buSzTx/>
            <a:buFontTx/>
            <a:buNone/>
            <a:tabLst/>
            <a:defRPr/>
          </a:pPr>
          <a:r>
            <a:rPr lang="es-AR" sz="1100" b="1" u="sng" baseline="0"/>
            <a:t>Sector No productivo: </a:t>
          </a:r>
          <a:r>
            <a:rPr lang="es-AR" sz="1100" b="0">
              <a:solidFill>
                <a:schemeClr val="dk1"/>
              </a:solidFill>
              <a:effectLst/>
              <a:latin typeface="+mn-lt"/>
              <a:ea typeface="+mn-ea"/>
              <a:cs typeface="+mn-cs"/>
            </a:rPr>
            <a:t>1 responsable del departamento comercial - 1 responsable del departamento administrativo - Se terceriza la contabilidad y RR.HH.</a:t>
          </a:r>
          <a:endParaRPr lang="es-AR" sz="1100" b="0" u="sng" baseline="0">
            <a:solidFill>
              <a:schemeClr val="dk1"/>
            </a:solidFill>
            <a:effectLst/>
            <a:latin typeface="+mn-lt"/>
            <a:ea typeface="+mn-ea"/>
            <a:cs typeface="+mn-cs"/>
          </a:endParaRPr>
        </a:p>
        <a:p>
          <a:r>
            <a:rPr lang="es-AR" sz="1100" b="1" u="sng" baseline="0">
              <a:solidFill>
                <a:schemeClr val="dk1"/>
              </a:solidFill>
              <a:effectLst/>
              <a:latin typeface="+mn-lt"/>
              <a:ea typeface="+mn-ea"/>
              <a:cs typeface="+mn-cs"/>
            </a:rPr>
            <a:t>Año 2025</a:t>
          </a:r>
        </a:p>
        <a:p>
          <a:r>
            <a:rPr lang="es-AR" sz="1100" b="1" u="sng" baseline="0">
              <a:solidFill>
                <a:schemeClr val="dk1"/>
              </a:solidFill>
              <a:effectLst/>
              <a:latin typeface="+mn-lt"/>
              <a:ea typeface="+mn-ea"/>
              <a:cs typeface="+mn-cs"/>
            </a:rPr>
            <a:t>Sector Productivo: </a:t>
          </a:r>
          <a:r>
            <a:rPr lang="es-AR" sz="1100" b="0" u="none" baseline="0">
              <a:solidFill>
                <a:schemeClr val="dk1"/>
              </a:solidFill>
              <a:effectLst/>
              <a:latin typeface="+mn-lt"/>
              <a:ea typeface="+mn-ea"/>
              <a:cs typeface="+mn-cs"/>
            </a:rPr>
            <a:t>2 operadores de máquina - 2 responsables del departamento de manufactura - 2 operadores de logística.</a:t>
          </a:r>
        </a:p>
        <a:p>
          <a:r>
            <a:rPr lang="es-AR" sz="1100" b="1" u="sng" baseline="0">
              <a:solidFill>
                <a:schemeClr val="dk1"/>
              </a:solidFill>
              <a:effectLst/>
              <a:latin typeface="+mn-lt"/>
              <a:ea typeface="+mn-ea"/>
              <a:cs typeface="+mn-cs"/>
            </a:rPr>
            <a:t>Sector No productivo: </a:t>
          </a:r>
          <a:r>
            <a:rPr lang="es-AR" sz="1100">
              <a:solidFill>
                <a:schemeClr val="dk1"/>
              </a:solidFill>
              <a:effectLst/>
              <a:latin typeface="+mn-lt"/>
              <a:ea typeface="+mn-ea"/>
              <a:cs typeface="+mn-cs"/>
            </a:rPr>
            <a:t>1 responsable del departamento comercial - 1 responsable del departamento administrativo - Se terceriza la contabilidad y RR.HH.</a:t>
          </a:r>
        </a:p>
        <a:p>
          <a:r>
            <a:rPr lang="es-AR" sz="1100" b="1" u="sng" baseline="0">
              <a:solidFill>
                <a:schemeClr val="dk1"/>
              </a:solidFill>
              <a:effectLst/>
              <a:latin typeface="+mn-lt"/>
              <a:ea typeface="+mn-ea"/>
              <a:cs typeface="+mn-cs"/>
            </a:rPr>
            <a:t>Año 2026</a:t>
          </a:r>
          <a:endParaRPr lang="es-AR">
            <a:effectLst/>
          </a:endParaRPr>
        </a:p>
        <a:p>
          <a:r>
            <a:rPr lang="es-AR" sz="1100" b="1" u="sng" baseline="0">
              <a:solidFill>
                <a:schemeClr val="dk1"/>
              </a:solidFill>
              <a:effectLst/>
              <a:latin typeface="+mn-lt"/>
              <a:ea typeface="+mn-ea"/>
              <a:cs typeface="+mn-cs"/>
            </a:rPr>
            <a:t>Sector Productivo: </a:t>
          </a:r>
          <a:r>
            <a:rPr lang="es-AR" sz="1100" b="0" u="none" baseline="0">
              <a:solidFill>
                <a:schemeClr val="dk1"/>
              </a:solidFill>
              <a:effectLst/>
              <a:latin typeface="+mn-lt"/>
              <a:ea typeface="+mn-ea"/>
              <a:cs typeface="+mn-cs"/>
            </a:rPr>
            <a:t>4</a:t>
          </a:r>
          <a:r>
            <a:rPr lang="es-AR" sz="1100">
              <a:solidFill>
                <a:schemeClr val="dk1"/>
              </a:solidFill>
              <a:effectLst/>
              <a:latin typeface="+mn-lt"/>
              <a:ea typeface="+mn-ea"/>
              <a:cs typeface="+mn-cs"/>
            </a:rPr>
            <a:t> operadores de máquina - 2 responsables del departamento de manufactura - 2 operadores de logística.</a:t>
          </a:r>
        </a:p>
        <a:p>
          <a:r>
            <a:rPr lang="es-AR" sz="1100" b="1" u="sng" baseline="0">
              <a:solidFill>
                <a:schemeClr val="dk1"/>
              </a:solidFill>
              <a:effectLst/>
              <a:latin typeface="+mn-lt"/>
              <a:ea typeface="+mn-ea"/>
              <a:cs typeface="+mn-cs"/>
            </a:rPr>
            <a:t>Sector No productivo: </a:t>
          </a:r>
          <a:r>
            <a:rPr lang="es-AR" sz="1100">
              <a:solidFill>
                <a:schemeClr val="dk1"/>
              </a:solidFill>
              <a:effectLst/>
              <a:latin typeface="+mn-lt"/>
              <a:ea typeface="+mn-ea"/>
              <a:cs typeface="+mn-cs"/>
            </a:rPr>
            <a:t>1 responsable del departamento comercial - 1 responsable del departamento administrativo – 1 responsable de contaduría y finanzas - 1 responsable de RR.HH.  </a:t>
          </a:r>
        </a:p>
        <a:p>
          <a:r>
            <a:rPr lang="es-AR" sz="1100" b="1" u="sng" baseline="0">
              <a:solidFill>
                <a:schemeClr val="dk1"/>
              </a:solidFill>
              <a:effectLst/>
              <a:latin typeface="+mn-lt"/>
              <a:ea typeface="+mn-ea"/>
              <a:cs typeface="+mn-cs"/>
            </a:rPr>
            <a:t>Año 2027</a:t>
          </a:r>
          <a:endParaRPr lang="es-AR">
            <a:effectLst/>
          </a:endParaRPr>
        </a:p>
        <a:p>
          <a:r>
            <a:rPr lang="es-AR" sz="1100" b="1" u="sng" baseline="0">
              <a:solidFill>
                <a:schemeClr val="dk1"/>
              </a:solidFill>
              <a:effectLst/>
              <a:latin typeface="+mn-lt"/>
              <a:ea typeface="+mn-ea"/>
              <a:cs typeface="+mn-cs"/>
            </a:rPr>
            <a:t>Sector Productivo: </a:t>
          </a:r>
          <a:r>
            <a:rPr lang="es-AR" sz="1100">
              <a:solidFill>
                <a:schemeClr val="dk1"/>
              </a:solidFill>
              <a:effectLst/>
              <a:latin typeface="+mn-lt"/>
              <a:ea typeface="+mn-ea"/>
              <a:cs typeface="+mn-cs"/>
            </a:rPr>
            <a:t>4 operadores de máquina - 2 responsables del departamento de manufactura - 2 operadores de logística.</a:t>
          </a:r>
        </a:p>
        <a:p>
          <a:r>
            <a:rPr lang="es-AR" sz="1100" b="1" u="sng" baseline="0">
              <a:solidFill>
                <a:schemeClr val="dk1"/>
              </a:solidFill>
              <a:effectLst/>
              <a:latin typeface="+mn-lt"/>
              <a:ea typeface="+mn-ea"/>
              <a:cs typeface="+mn-cs"/>
            </a:rPr>
            <a:t>Sector No productivo: </a:t>
          </a:r>
          <a:r>
            <a:rPr lang="es-AR" sz="1100">
              <a:solidFill>
                <a:schemeClr val="dk1"/>
              </a:solidFill>
              <a:effectLst/>
              <a:latin typeface="+mn-lt"/>
              <a:ea typeface="+mn-ea"/>
              <a:cs typeface="+mn-cs"/>
            </a:rPr>
            <a:t>1 responsable del departamento comercial - 1 responsable del departamento administrativo – 1 responsable de contaduría y finanzas - 1 responsable de RR.HH.  – 1 Auxiliar del departamento comercial.</a:t>
          </a:r>
        </a:p>
        <a:p>
          <a:r>
            <a:rPr lang="es-AR" sz="1100" b="1" u="sng" baseline="0">
              <a:solidFill>
                <a:schemeClr val="dk1"/>
              </a:solidFill>
              <a:effectLst/>
              <a:latin typeface="+mn-lt"/>
              <a:ea typeface="+mn-ea"/>
              <a:cs typeface="+mn-cs"/>
            </a:rPr>
            <a:t>Año 2028</a:t>
          </a:r>
          <a:endParaRPr lang="es-AR">
            <a:effectLst/>
          </a:endParaRPr>
        </a:p>
        <a:p>
          <a:r>
            <a:rPr lang="es-AR" sz="1100" b="1" u="sng" baseline="0">
              <a:solidFill>
                <a:schemeClr val="dk1"/>
              </a:solidFill>
              <a:effectLst/>
              <a:latin typeface="+mn-lt"/>
              <a:ea typeface="+mn-ea"/>
              <a:cs typeface="+mn-cs"/>
            </a:rPr>
            <a:t>Sector Productivo: </a:t>
          </a:r>
          <a:r>
            <a:rPr lang="es-AR" sz="1100" b="0" u="none" baseline="0">
              <a:solidFill>
                <a:schemeClr val="dk1"/>
              </a:solidFill>
              <a:effectLst/>
              <a:latin typeface="+mn-lt"/>
              <a:ea typeface="+mn-ea"/>
              <a:cs typeface="+mn-cs"/>
            </a:rPr>
            <a:t>6</a:t>
          </a:r>
          <a:r>
            <a:rPr lang="es-AR" sz="1100">
              <a:solidFill>
                <a:schemeClr val="dk1"/>
              </a:solidFill>
              <a:effectLst/>
              <a:latin typeface="+mn-lt"/>
              <a:ea typeface="+mn-ea"/>
              <a:cs typeface="+mn-cs"/>
            </a:rPr>
            <a:t> operadores de máquina - 3 responsables del departamento de manufactura - 3 operadores de logística.</a:t>
          </a:r>
        </a:p>
        <a:p>
          <a:r>
            <a:rPr lang="es-AR" sz="1100" b="1" u="sng" baseline="0">
              <a:solidFill>
                <a:schemeClr val="dk1"/>
              </a:solidFill>
              <a:effectLst/>
              <a:latin typeface="+mn-lt"/>
              <a:ea typeface="+mn-ea"/>
              <a:cs typeface="+mn-cs"/>
            </a:rPr>
            <a:t>Sector No productivo: </a:t>
          </a:r>
          <a:r>
            <a:rPr lang="es-AR" sz="1100">
              <a:solidFill>
                <a:schemeClr val="dk1"/>
              </a:solidFill>
              <a:effectLst/>
              <a:latin typeface="+mn-lt"/>
              <a:ea typeface="+mn-ea"/>
              <a:cs typeface="+mn-cs"/>
            </a:rPr>
            <a:t>1 responsable del departamento comercial - 1 responsable del departamento administrativo – 1 responsable de contaduría y finanzas - 1 responsable de RR.HH.  – 1 Auxiliar del departamento comercial.</a:t>
          </a:r>
        </a:p>
        <a:p>
          <a:endParaRPr lang="es-AR" sz="1100"/>
        </a:p>
        <a:p>
          <a:r>
            <a:rPr lang="es-AR" sz="1100"/>
            <a:t>Consideraciones:</a:t>
          </a:r>
          <a:r>
            <a:rPr lang="es-AR" sz="1100" baseline="0"/>
            <a:t> Los empleados de tareas administrativas son auxiliares de sectores no productivo, en las areas de contaduria, RRHH y comercial. los empleados de logistica, abastecen de MP a la produccion y se encargan del proceso de embalaje del pallet y almacenamiento del mismo</a:t>
          </a:r>
          <a:endParaRPr lang="es-AR"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xdr:col>
      <xdr:colOff>91440</xdr:colOff>
      <xdr:row>7</xdr:row>
      <xdr:rowOff>99060</xdr:rowOff>
    </xdr:from>
    <xdr:to>
      <xdr:col>4</xdr:col>
      <xdr:colOff>685800</xdr:colOff>
      <xdr:row>7</xdr:row>
      <xdr:rowOff>99060</xdr:rowOff>
    </xdr:to>
    <xdr:cxnSp macro="">
      <xdr:nvCxnSpPr>
        <xdr:cNvPr id="6" name="Conector recto de flecha 5">
          <a:extLst>
            <a:ext uri="{FF2B5EF4-FFF2-40B4-BE49-F238E27FC236}">
              <a16:creationId xmlns:a16="http://schemas.microsoft.com/office/drawing/2014/main" id="{00000000-0008-0000-0A00-000006000000}"/>
            </a:ext>
          </a:extLst>
        </xdr:cNvPr>
        <xdr:cNvCxnSpPr/>
      </xdr:nvCxnSpPr>
      <xdr:spPr>
        <a:xfrm>
          <a:off x="5585460" y="1143000"/>
          <a:ext cx="59436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7620</xdr:colOff>
      <xdr:row>17</xdr:row>
      <xdr:rowOff>144780</xdr:rowOff>
    </xdr:from>
    <xdr:to>
      <xdr:col>5</xdr:col>
      <xdr:colOff>167640</xdr:colOff>
      <xdr:row>20</xdr:row>
      <xdr:rowOff>7620</xdr:rowOff>
    </xdr:to>
    <xdr:sp macro="" textlink="">
      <xdr:nvSpPr>
        <xdr:cNvPr id="8" name="Cerrar llave 7">
          <a:extLst>
            <a:ext uri="{FF2B5EF4-FFF2-40B4-BE49-F238E27FC236}">
              <a16:creationId xmlns:a16="http://schemas.microsoft.com/office/drawing/2014/main" id="{00000000-0008-0000-0A00-000008000000}"/>
            </a:ext>
          </a:extLst>
        </xdr:cNvPr>
        <xdr:cNvSpPr/>
      </xdr:nvSpPr>
      <xdr:spPr>
        <a:xfrm>
          <a:off x="6332220" y="2872740"/>
          <a:ext cx="160020" cy="426720"/>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es-AR" sz="1100"/>
        </a:p>
      </xdr:txBody>
    </xdr:sp>
    <xdr:clientData/>
  </xdr:twoCellAnchor>
  <xdr:twoCellAnchor>
    <xdr:from>
      <xdr:col>5</xdr:col>
      <xdr:colOff>340995</xdr:colOff>
      <xdr:row>15</xdr:row>
      <xdr:rowOff>17145</xdr:rowOff>
    </xdr:from>
    <xdr:to>
      <xdr:col>9</xdr:col>
      <xdr:colOff>97155</xdr:colOff>
      <xdr:row>25</xdr:row>
      <xdr:rowOff>152400</xdr:rowOff>
    </xdr:to>
    <xdr:sp macro="" textlink="">
      <xdr:nvSpPr>
        <xdr:cNvPr id="9" name="CuadroTexto 8">
          <a:extLst>
            <a:ext uri="{FF2B5EF4-FFF2-40B4-BE49-F238E27FC236}">
              <a16:creationId xmlns:a16="http://schemas.microsoft.com/office/drawing/2014/main" id="{00000000-0008-0000-0A00-000009000000}"/>
            </a:ext>
          </a:extLst>
        </xdr:cNvPr>
        <xdr:cNvSpPr txBox="1"/>
      </xdr:nvSpPr>
      <xdr:spPr>
        <a:xfrm>
          <a:off x="7065645" y="2817495"/>
          <a:ext cx="3575685" cy="19640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a:t>Datos Extraidos</a:t>
          </a:r>
          <a:r>
            <a:rPr lang="es-AR" sz="1100" baseline="0"/>
            <a:t> de la union obreros y empleados plasticos. Se considera como un operador.A continuacion se adjunta el link:</a:t>
          </a:r>
        </a:p>
        <a:p>
          <a:endParaRPr lang="es-AR" sz="1100" baseline="0"/>
        </a:p>
        <a:p>
          <a:r>
            <a:rPr lang="es-AR" sz="1100"/>
            <a:t>https://www.uoyepweb.org.ar/escala-salarial/ </a:t>
          </a:r>
        </a:p>
        <a:p>
          <a:endParaRPr lang="es-AR" sz="1100"/>
        </a:p>
        <a:p>
          <a:r>
            <a:rPr lang="es-AR" sz="1100"/>
            <a:t>Valor</a:t>
          </a:r>
          <a:r>
            <a:rPr lang="es-AR" sz="1100" baseline="0"/>
            <a:t> hora a Octubre 2024:</a:t>
          </a:r>
        </a:p>
        <a:p>
          <a:endParaRPr lang="es-AR" sz="1100" baseline="0"/>
        </a:p>
        <a:p>
          <a:r>
            <a:rPr lang="es-AR" sz="1100" baseline="0"/>
            <a:t>Operador: $4.020,65</a:t>
          </a:r>
        </a:p>
        <a:p>
          <a:r>
            <a:rPr lang="es-AR" sz="1100" baseline="0"/>
            <a:t>Operador calificado (supervisor): $4.200,51</a:t>
          </a:r>
          <a:endParaRPr lang="es-AR" sz="1100"/>
        </a:p>
      </xdr:txBody>
    </xdr:sp>
    <xdr:clientData/>
  </xdr:twoCellAnchor>
  <xdr:twoCellAnchor>
    <xdr:from>
      <xdr:col>6</xdr:col>
      <xdr:colOff>142876</xdr:colOff>
      <xdr:row>62</xdr:row>
      <xdr:rowOff>190501</xdr:rowOff>
    </xdr:from>
    <xdr:to>
      <xdr:col>6</xdr:col>
      <xdr:colOff>295276</xdr:colOff>
      <xdr:row>66</xdr:row>
      <xdr:rowOff>1</xdr:rowOff>
    </xdr:to>
    <xdr:sp macro="" textlink="">
      <xdr:nvSpPr>
        <xdr:cNvPr id="2" name="Cerrar llave 1">
          <a:extLst>
            <a:ext uri="{FF2B5EF4-FFF2-40B4-BE49-F238E27FC236}">
              <a16:creationId xmlns:a16="http://schemas.microsoft.com/office/drawing/2014/main" id="{0AFB9856-BF90-2670-C2C4-66A41C0CFFDC}"/>
            </a:ext>
          </a:extLst>
        </xdr:cNvPr>
        <xdr:cNvSpPr/>
      </xdr:nvSpPr>
      <xdr:spPr>
        <a:xfrm>
          <a:off x="8467726" y="12792076"/>
          <a:ext cx="152400" cy="6096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es-AR" sz="1100"/>
        </a:p>
      </xdr:txBody>
    </xdr:sp>
    <xdr:clientData/>
  </xdr:twoCellAnchor>
  <xdr:twoCellAnchor>
    <xdr:from>
      <xdr:col>6</xdr:col>
      <xdr:colOff>447675</xdr:colOff>
      <xdr:row>63</xdr:row>
      <xdr:rowOff>28575</xdr:rowOff>
    </xdr:from>
    <xdr:to>
      <xdr:col>10</xdr:col>
      <xdr:colOff>714375</xdr:colOff>
      <xdr:row>66</xdr:row>
      <xdr:rowOff>47625</xdr:rowOff>
    </xdr:to>
    <xdr:sp macro="" textlink="">
      <xdr:nvSpPr>
        <xdr:cNvPr id="3" name="CuadroTexto 2">
          <a:extLst>
            <a:ext uri="{FF2B5EF4-FFF2-40B4-BE49-F238E27FC236}">
              <a16:creationId xmlns:a16="http://schemas.microsoft.com/office/drawing/2014/main" id="{6B60AB2F-0D20-57C5-900E-2771092148F2}"/>
            </a:ext>
          </a:extLst>
        </xdr:cNvPr>
        <xdr:cNvSpPr txBox="1"/>
      </xdr:nvSpPr>
      <xdr:spPr>
        <a:xfrm>
          <a:off x="8772525" y="12830175"/>
          <a:ext cx="3695700" cy="619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a:t>El operador especializado se lo considera como un supervisor. Los valores mensuales indicados, correponden a los datos extraidos</a:t>
          </a:r>
          <a:r>
            <a:rPr lang="es-AR" sz="1100" baseline="0"/>
            <a:t> de la union obreros y empleados plasticos</a:t>
          </a:r>
          <a:endParaRPr lang="es-AR"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5</xdr:col>
      <xdr:colOff>152400</xdr:colOff>
      <xdr:row>13</xdr:row>
      <xdr:rowOff>38100</xdr:rowOff>
    </xdr:from>
    <xdr:to>
      <xdr:col>5</xdr:col>
      <xdr:colOff>323850</xdr:colOff>
      <xdr:row>18</xdr:row>
      <xdr:rowOff>161925</xdr:rowOff>
    </xdr:to>
    <xdr:sp macro="" textlink="">
      <xdr:nvSpPr>
        <xdr:cNvPr id="2" name="Cerrar llave 1">
          <a:extLst>
            <a:ext uri="{FF2B5EF4-FFF2-40B4-BE49-F238E27FC236}">
              <a16:creationId xmlns:a16="http://schemas.microsoft.com/office/drawing/2014/main" id="{E32626EE-40F3-13BF-1B41-145F1291E0A0}"/>
            </a:ext>
          </a:extLst>
        </xdr:cNvPr>
        <xdr:cNvSpPr/>
      </xdr:nvSpPr>
      <xdr:spPr>
        <a:xfrm>
          <a:off x="6048375" y="2028825"/>
          <a:ext cx="171450" cy="1123950"/>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es-AR" sz="1100"/>
        </a:p>
      </xdr:txBody>
    </xdr:sp>
    <xdr:clientData/>
  </xdr:twoCellAnchor>
  <xdr:twoCellAnchor>
    <xdr:from>
      <xdr:col>5</xdr:col>
      <xdr:colOff>466725</xdr:colOff>
      <xdr:row>13</xdr:row>
      <xdr:rowOff>19050</xdr:rowOff>
    </xdr:from>
    <xdr:to>
      <xdr:col>9</xdr:col>
      <xdr:colOff>209550</xdr:colOff>
      <xdr:row>19</xdr:row>
      <xdr:rowOff>152400</xdr:rowOff>
    </xdr:to>
    <xdr:sp macro="" textlink="">
      <xdr:nvSpPr>
        <xdr:cNvPr id="3" name="CuadroTexto 2">
          <a:extLst>
            <a:ext uri="{FF2B5EF4-FFF2-40B4-BE49-F238E27FC236}">
              <a16:creationId xmlns:a16="http://schemas.microsoft.com/office/drawing/2014/main" id="{67187A5F-E5CC-3C33-444C-371828BC681A}"/>
            </a:ext>
          </a:extLst>
        </xdr:cNvPr>
        <xdr:cNvSpPr txBox="1"/>
      </xdr:nvSpPr>
      <xdr:spPr>
        <a:xfrm>
          <a:off x="6686550" y="2571750"/>
          <a:ext cx="3343275" cy="1333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a:t>Calculo una segunda tasa sin considerar el sueldo del Supervisor (Cosiderando</a:t>
          </a:r>
          <a:r>
            <a:rPr lang="es-AR" sz="1100" baseline="0"/>
            <a:t> que este es fijo). Esa tasa la defino para el cash flow, ya que, va a varias con la cantidad que producimos. En cambio, el sueldo del supervisor se debe pagar todos los meses al igual que el personal de logistica.</a:t>
          </a:r>
          <a:endParaRPr lang="es-AR" sz="1100"/>
        </a:p>
      </xdr:txBody>
    </xdr:sp>
    <xdr:clientData/>
  </xdr:twoCellAnchor>
  <xdr:twoCellAnchor>
    <xdr:from>
      <xdr:col>12</xdr:col>
      <xdr:colOff>542925</xdr:colOff>
      <xdr:row>6</xdr:row>
      <xdr:rowOff>161924</xdr:rowOff>
    </xdr:from>
    <xdr:to>
      <xdr:col>19</xdr:col>
      <xdr:colOff>485775</xdr:colOff>
      <xdr:row>33</xdr:row>
      <xdr:rowOff>219075</xdr:rowOff>
    </xdr:to>
    <xdr:sp macro="" textlink="">
      <xdr:nvSpPr>
        <xdr:cNvPr id="4" name="CuadroTexto 3">
          <a:extLst>
            <a:ext uri="{FF2B5EF4-FFF2-40B4-BE49-F238E27FC236}">
              <a16:creationId xmlns:a16="http://schemas.microsoft.com/office/drawing/2014/main" id="{CC69AD00-6E6F-37D3-A2A2-F95A62E0E19B}"/>
            </a:ext>
          </a:extLst>
        </xdr:cNvPr>
        <xdr:cNvSpPr txBox="1"/>
      </xdr:nvSpPr>
      <xdr:spPr>
        <a:xfrm>
          <a:off x="13049250" y="1314449"/>
          <a:ext cx="5105400" cy="54578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b="1" u="sng"/>
            <a:t>Limpieza:</a:t>
          </a:r>
          <a:r>
            <a:rPr lang="es-AR" sz="1100" b="1" u="sng" baseline="0"/>
            <a:t> </a:t>
          </a:r>
          <a:r>
            <a:rPr lang="es-AR" sz="1100" baseline="0"/>
            <a:t>Se van a considerar el valor hora de la union personal auxiliar para casa particulares. Este servicio se terceriza. Se considera personal para tareas especificas segunda categoria sin retiro.</a:t>
          </a:r>
        </a:p>
        <a:p>
          <a:endParaRPr lang="es-AR" sz="1100" baseline="0"/>
        </a:p>
        <a:p>
          <a:r>
            <a:rPr lang="es-AR" sz="1100" baseline="0"/>
            <a:t>https://upacp.org.ar/?page_id=26745</a:t>
          </a:r>
        </a:p>
        <a:p>
          <a:endParaRPr lang="es-AR" sz="1100" baseline="0"/>
        </a:p>
        <a:p>
          <a:r>
            <a:rPr lang="es-AR" sz="1100" b="1" u="sng" baseline="0"/>
            <a:t>Consumo de energia: </a:t>
          </a:r>
          <a:r>
            <a:rPr lang="es-AR" sz="1100" b="0" u="none" baseline="0"/>
            <a:t>Se considera en base al dimensionamiento de la isntalacion de potencia de la organizacion y los valor de Kw en base a la empresa que suministra el servicio.</a:t>
          </a:r>
        </a:p>
        <a:p>
          <a:endParaRPr lang="es-AR" sz="1100" b="1" u="sng"/>
        </a:p>
        <a:p>
          <a:r>
            <a:rPr lang="es-AR" sz="1100" b="0" u="none"/>
            <a:t>chrome-extension://efaidnbmnnnibpcajpcglclefindmkaj/https://www.edenor.com/sites/default/files/2024-10/Cuadro-tarifario-octubre-2024.pdf</a:t>
          </a:r>
        </a:p>
        <a:p>
          <a:endParaRPr lang="es-AR" sz="1100" b="1" u="sng"/>
        </a:p>
        <a:p>
          <a:r>
            <a:rPr lang="es-AR" sz="1100" b="1" u="sng"/>
            <a:t>Sueldo</a:t>
          </a:r>
          <a:r>
            <a:rPr lang="es-AR" sz="1100" b="1" u="sng" baseline="0"/>
            <a:t> supervisor de produccion:</a:t>
          </a:r>
          <a:r>
            <a:rPr lang="es-AR" sz="1100" b="0" i="0" u="none" baseline="0"/>
            <a:t> Se determina en base a los datos extraidos de la union obreros y empleados plasticos. Se considera al mismo como un operador calificado. Tambien se tendra en cuenta la matriz de MOD.</a:t>
          </a:r>
        </a:p>
        <a:p>
          <a:endParaRPr lang="es-AR" sz="1100" b="0" i="0" u="none" baseline="0"/>
        </a:p>
        <a:p>
          <a:endParaRPr lang="es-AR">
            <a:effectLst/>
          </a:endParaRPr>
        </a:p>
        <a:p>
          <a:r>
            <a:rPr lang="es-AR" sz="1100">
              <a:solidFill>
                <a:schemeClr val="dk1"/>
              </a:solidFill>
              <a:effectLst/>
              <a:latin typeface="+mn-lt"/>
              <a:ea typeface="+mn-ea"/>
              <a:cs typeface="+mn-cs"/>
            </a:rPr>
            <a:t>https://www.uoyepweb.org.ar/escala-salarial/ </a:t>
          </a:r>
          <a:endParaRPr lang="es-AR">
            <a:effectLst/>
          </a:endParaRPr>
        </a:p>
        <a:p>
          <a:endParaRPr lang="es-AR" sz="1100" b="0" i="0" u="none"/>
        </a:p>
        <a:p>
          <a:r>
            <a:rPr lang="es-AR" sz="1100" b="1" u="sng">
              <a:solidFill>
                <a:schemeClr val="dk1"/>
              </a:solidFill>
              <a:effectLst/>
              <a:latin typeface="+mn-lt"/>
              <a:ea typeface="+mn-ea"/>
              <a:cs typeface="+mn-cs"/>
            </a:rPr>
            <a:t>Sueldo</a:t>
          </a:r>
          <a:r>
            <a:rPr lang="es-AR" sz="1100" b="1" u="sng" baseline="0">
              <a:solidFill>
                <a:schemeClr val="dk1"/>
              </a:solidFill>
              <a:effectLst/>
              <a:latin typeface="+mn-lt"/>
              <a:ea typeface="+mn-ea"/>
              <a:cs typeface="+mn-cs"/>
            </a:rPr>
            <a:t> personal logistico: </a:t>
          </a:r>
          <a:r>
            <a:rPr lang="es-AR" sz="1100" b="0" u="none" baseline="0">
              <a:solidFill>
                <a:schemeClr val="dk1"/>
              </a:solidFill>
              <a:effectLst/>
              <a:latin typeface="+mn-lt"/>
              <a:ea typeface="+mn-ea"/>
              <a:cs typeface="+mn-cs"/>
            </a:rPr>
            <a:t>Se determina en base a los datos extraidos de la union obreros y empleados plasticos. Se considera al mismo como un operador.</a:t>
          </a:r>
        </a:p>
        <a:p>
          <a:endParaRPr lang="es-AR" sz="1100" b="0" i="0" u="none" baseline="0">
            <a:solidFill>
              <a:schemeClr val="dk1"/>
            </a:solidFill>
            <a:effectLst/>
            <a:latin typeface="+mn-lt"/>
            <a:ea typeface="+mn-ea"/>
            <a:cs typeface="+mn-cs"/>
          </a:endParaRPr>
        </a:p>
        <a:p>
          <a:endParaRPr lang="es-AR">
            <a:effectLst/>
          </a:endParaRPr>
        </a:p>
        <a:p>
          <a:r>
            <a:rPr lang="es-AR" sz="1100">
              <a:solidFill>
                <a:schemeClr val="dk1"/>
              </a:solidFill>
              <a:effectLst/>
              <a:latin typeface="+mn-lt"/>
              <a:ea typeface="+mn-ea"/>
              <a:cs typeface="+mn-cs"/>
            </a:rPr>
            <a:t>https://www.uoyepweb.org.ar/escala-salarial/ </a:t>
          </a:r>
          <a:endParaRPr lang="es-AR">
            <a:effectLst/>
          </a:endParaRPr>
        </a:p>
        <a:p>
          <a:endParaRPr lang="es-AR" sz="1100" b="0" i="0" u="none"/>
        </a:p>
        <a:p>
          <a:r>
            <a:rPr lang="es-AR" sz="1100" b="1" i="0" u="sng"/>
            <a:t>Mantenimiento:</a:t>
          </a:r>
          <a:r>
            <a:rPr lang="es-AR" sz="1100" b="1" i="0" u="sng" baseline="0"/>
            <a:t> </a:t>
          </a:r>
          <a:r>
            <a:rPr lang="es-AR" sz="1100" b="0" i="0" u="none" baseline="0"/>
            <a:t>Se considera un costo mensual de mantenimiento de la maquina por turno, considerando la mano de obra que se requiere + reposicion de piezas. </a:t>
          </a:r>
          <a:endParaRPr lang="es-AR" sz="1100" b="0" i="0" u="none"/>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12</xdr:col>
      <xdr:colOff>576942</xdr:colOff>
      <xdr:row>6</xdr:row>
      <xdr:rowOff>76199</xdr:rowOff>
    </xdr:from>
    <xdr:to>
      <xdr:col>15</xdr:col>
      <xdr:colOff>1534885</xdr:colOff>
      <xdr:row>29</xdr:row>
      <xdr:rowOff>174173</xdr:rowOff>
    </xdr:to>
    <xdr:sp macro="" textlink="">
      <xdr:nvSpPr>
        <xdr:cNvPr id="2" name="CuadroTexto 1">
          <a:extLst>
            <a:ext uri="{FF2B5EF4-FFF2-40B4-BE49-F238E27FC236}">
              <a16:creationId xmlns:a16="http://schemas.microsoft.com/office/drawing/2014/main" id="{8B3467A5-C08A-8F26-0DF3-B0A4AD697A4A}"/>
            </a:ext>
          </a:extLst>
        </xdr:cNvPr>
        <xdr:cNvSpPr txBox="1"/>
      </xdr:nvSpPr>
      <xdr:spPr>
        <a:xfrm>
          <a:off x="15893142" y="1230085"/>
          <a:ext cx="4060372" cy="40386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b="1" u="sng"/>
            <a:t>Sueldos: </a:t>
          </a:r>
          <a:r>
            <a:rPr lang="es-AR" sz="1100"/>
            <a:t>Para la determinacion de los</a:t>
          </a:r>
          <a:r>
            <a:rPr lang="es-AR" sz="1100" baseline="0"/>
            <a:t> sueldos del personal que es considerado como mano de obra indirecta, se tendran en cuenta la  los datos extraidos de la union obreros y empleados plasticos, y las escalas salariales de personal bajo Ley de Contrato de Trabajo</a:t>
          </a:r>
        </a:p>
        <a:p>
          <a:endParaRPr lang="es-AR" sz="1100" baseline="0"/>
        </a:p>
        <a:p>
          <a:endParaRPr lang="es-AR" sz="1100" baseline="0"/>
        </a:p>
        <a:p>
          <a:r>
            <a:rPr lang="es-AR" sz="1100" baseline="0"/>
            <a:t>https://www.argentina.gob.ar/transporte/cnrt/transparencia/escalas-salariales</a:t>
          </a:r>
        </a:p>
        <a:p>
          <a:endParaRPr lang="es-AR" sz="1100" baseline="0"/>
        </a:p>
        <a:p>
          <a:r>
            <a:rPr lang="es-AR" sz="1100"/>
            <a:t>https://www.uoyepweb.org.ar/escala-salarial/</a:t>
          </a:r>
        </a:p>
        <a:p>
          <a:endParaRPr lang="es-AR" sz="1100"/>
        </a:p>
        <a:p>
          <a:r>
            <a:rPr lang="es-AR" sz="1100"/>
            <a:t>https://www.argentina.gob.ar/srt/transparencia/escalas-salariales</a:t>
          </a:r>
        </a:p>
        <a:p>
          <a:endParaRPr lang="es-AR" sz="1100"/>
        </a:p>
        <a:p>
          <a:r>
            <a:rPr lang="es-AR" sz="1100"/>
            <a:t>https://www.aguasbonaerenses.com.ar/oficina-virtual/mi-factura/cuadro-tarifario/</a:t>
          </a:r>
        </a:p>
        <a:p>
          <a:endParaRPr lang="es-AR" sz="1100"/>
        </a:p>
        <a:p>
          <a:r>
            <a:rPr lang="es-AR" sz="1100"/>
            <a:t>chrome-extension://efaidnbmnnnibpcajpcglclefindmkaj/https://www.cpceer.org.ar/sites/default/files/documentos/honorarios/cpceer-honorarios-sugeridos-julio-2024.pdf</a:t>
          </a:r>
        </a:p>
        <a:p>
          <a:endParaRPr lang="es-AR" sz="1100"/>
        </a:p>
        <a:p>
          <a:r>
            <a:rPr lang="es-AR" sz="1100"/>
            <a:t>https://telecentro.com.ar/planes/full</a:t>
          </a:r>
        </a:p>
      </xdr:txBody>
    </xdr:sp>
    <xdr:clientData/>
  </xdr:twoCellAnchor>
  <xdr:twoCellAnchor>
    <xdr:from>
      <xdr:col>11</xdr:col>
      <xdr:colOff>195943</xdr:colOff>
      <xdr:row>36</xdr:row>
      <xdr:rowOff>10885</xdr:rowOff>
    </xdr:from>
    <xdr:to>
      <xdr:col>11</xdr:col>
      <xdr:colOff>304800</xdr:colOff>
      <xdr:row>43</xdr:row>
      <xdr:rowOff>0</xdr:rowOff>
    </xdr:to>
    <xdr:sp macro="" textlink="">
      <xdr:nvSpPr>
        <xdr:cNvPr id="3" name="Cerrar llave 2">
          <a:extLst>
            <a:ext uri="{FF2B5EF4-FFF2-40B4-BE49-F238E27FC236}">
              <a16:creationId xmlns:a16="http://schemas.microsoft.com/office/drawing/2014/main" id="{9660C551-7641-D6FE-0FA2-895395815121}"/>
            </a:ext>
          </a:extLst>
        </xdr:cNvPr>
        <xdr:cNvSpPr/>
      </xdr:nvSpPr>
      <xdr:spPr>
        <a:xfrm>
          <a:off x="14336486" y="6422571"/>
          <a:ext cx="108857" cy="1491343"/>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es-AR" sz="1100" kern="1200"/>
        </a:p>
      </xdr:txBody>
    </xdr:sp>
    <xdr:clientData/>
  </xdr:twoCellAnchor>
  <xdr:twoCellAnchor>
    <xdr:from>
      <xdr:col>11</xdr:col>
      <xdr:colOff>489856</xdr:colOff>
      <xdr:row>37</xdr:row>
      <xdr:rowOff>119742</xdr:rowOff>
    </xdr:from>
    <xdr:to>
      <xdr:col>14</xdr:col>
      <xdr:colOff>870857</xdr:colOff>
      <xdr:row>41</xdr:row>
      <xdr:rowOff>163286</xdr:rowOff>
    </xdr:to>
    <xdr:sp macro="" textlink="">
      <xdr:nvSpPr>
        <xdr:cNvPr id="4" name="CuadroTexto 3">
          <a:extLst>
            <a:ext uri="{FF2B5EF4-FFF2-40B4-BE49-F238E27FC236}">
              <a16:creationId xmlns:a16="http://schemas.microsoft.com/office/drawing/2014/main" id="{BFF910D2-1A29-614B-DE3D-4508FDC043BE}"/>
            </a:ext>
          </a:extLst>
        </xdr:cNvPr>
        <xdr:cNvSpPr txBox="1"/>
      </xdr:nvSpPr>
      <xdr:spPr>
        <a:xfrm>
          <a:off x="14630399" y="6727371"/>
          <a:ext cx="3722915" cy="9688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kern="1200"/>
            <a:t>Se consideraron los sueldos</a:t>
          </a:r>
          <a:r>
            <a:rPr lang="es-AR" sz="1100" kern="1200" baseline="0"/>
            <a:t> de la camara del plastico y los salarios minimo/maximos que son establecidos en las escalas salariales por parte del ministerio de capital humano. Tratamos de considerar un promedio (ni tan bajo como los de la industria del plastico)</a:t>
          </a:r>
          <a:endParaRPr lang="es-AR" sz="1100" kern="1200"/>
        </a:p>
      </xdr:txBody>
    </xdr:sp>
    <xdr:clientData/>
  </xdr:twoCellAnchor>
  <xdr:twoCellAnchor>
    <xdr:from>
      <xdr:col>7</xdr:col>
      <xdr:colOff>1371600</xdr:colOff>
      <xdr:row>135</xdr:row>
      <xdr:rowOff>76201</xdr:rowOff>
    </xdr:from>
    <xdr:to>
      <xdr:col>11</xdr:col>
      <xdr:colOff>957942</xdr:colOff>
      <xdr:row>140</xdr:row>
      <xdr:rowOff>32658</xdr:rowOff>
    </xdr:to>
    <xdr:sp macro="" textlink="">
      <xdr:nvSpPr>
        <xdr:cNvPr id="5" name="CuadroTexto 4">
          <a:extLst>
            <a:ext uri="{FF2B5EF4-FFF2-40B4-BE49-F238E27FC236}">
              <a16:creationId xmlns:a16="http://schemas.microsoft.com/office/drawing/2014/main" id="{8354DD02-4D67-CA01-17BB-DB7E42C15588}"/>
            </a:ext>
          </a:extLst>
        </xdr:cNvPr>
        <xdr:cNvSpPr txBox="1"/>
      </xdr:nvSpPr>
      <xdr:spPr>
        <a:xfrm>
          <a:off x="10765971" y="28106915"/>
          <a:ext cx="4332514" cy="124097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a:t>Definimos</a:t>
          </a:r>
          <a:r>
            <a:rPr lang="es-AR" sz="1100" baseline="0"/>
            <a:t> los porcentajes de comisiones en base a la situacion de la empresa en cada año y el posicionamiento de la misma. Buscamos en los primeros años tener comisiones tentadoras para el vendedor de la empresa (y considerar comisiones tambien para posibles personas externas), pero que para años posteriores sea inferiro, sobre todo porque los volumenes de ventas van a ser mayores y gran parte de las ventas provengas de clientes ya existentes.</a:t>
          </a:r>
          <a:endParaRPr lang="es-AR" sz="1100"/>
        </a:p>
      </xdr:txBody>
    </xdr:sp>
    <xdr:clientData/>
  </xdr:twoCellAnchor>
  <xdr:twoCellAnchor>
    <xdr:from>
      <xdr:col>7</xdr:col>
      <xdr:colOff>315687</xdr:colOff>
      <xdr:row>136</xdr:row>
      <xdr:rowOff>163286</xdr:rowOff>
    </xdr:from>
    <xdr:to>
      <xdr:col>7</xdr:col>
      <xdr:colOff>1088572</xdr:colOff>
      <xdr:row>136</xdr:row>
      <xdr:rowOff>163286</xdr:rowOff>
    </xdr:to>
    <xdr:cxnSp macro="">
      <xdr:nvCxnSpPr>
        <xdr:cNvPr id="7" name="Conector recto de flecha 6">
          <a:extLst>
            <a:ext uri="{FF2B5EF4-FFF2-40B4-BE49-F238E27FC236}">
              <a16:creationId xmlns:a16="http://schemas.microsoft.com/office/drawing/2014/main" id="{C91C3609-3EDE-1F10-0CD2-9835EEF4E577}"/>
            </a:ext>
          </a:extLst>
        </xdr:cNvPr>
        <xdr:cNvCxnSpPr/>
      </xdr:nvCxnSpPr>
      <xdr:spPr>
        <a:xfrm>
          <a:off x="9710058" y="28738286"/>
          <a:ext cx="77288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446313</xdr:colOff>
      <xdr:row>142</xdr:row>
      <xdr:rowOff>206829</xdr:rowOff>
    </xdr:from>
    <xdr:to>
      <xdr:col>10</xdr:col>
      <xdr:colOff>54427</xdr:colOff>
      <xdr:row>146</xdr:row>
      <xdr:rowOff>97972</xdr:rowOff>
    </xdr:to>
    <xdr:sp macro="" textlink="">
      <xdr:nvSpPr>
        <xdr:cNvPr id="6" name="CuadroTexto 5">
          <a:extLst>
            <a:ext uri="{FF2B5EF4-FFF2-40B4-BE49-F238E27FC236}">
              <a16:creationId xmlns:a16="http://schemas.microsoft.com/office/drawing/2014/main" id="{1D2C0CE3-6590-447B-91D4-FC93C348FAF3}"/>
            </a:ext>
          </a:extLst>
        </xdr:cNvPr>
        <xdr:cNvSpPr txBox="1"/>
      </xdr:nvSpPr>
      <xdr:spPr>
        <a:xfrm>
          <a:off x="8762999" y="30099000"/>
          <a:ext cx="4332514" cy="92528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a:t>Por transferencia bancaria no se cobra,</a:t>
          </a:r>
          <a:r>
            <a:rPr lang="es-AR" sz="1100" baseline="0"/>
            <a:t> pero si por deposito o extraccion de caja para empresas (entre 2 y 2,5%) consideramos que por el rubro en el que nos enocentramos un 30% de lo facturado se deba o depositar o extraer para los primeros 2 años y de 20% para los restantes.</a:t>
          </a:r>
        </a:p>
      </xdr:txBody>
    </xdr:sp>
    <xdr:clientData/>
  </xdr:twoCellAnchor>
  <xdr:twoCellAnchor>
    <xdr:from>
      <xdr:col>5</xdr:col>
      <xdr:colOff>609601</xdr:colOff>
      <xdr:row>145</xdr:row>
      <xdr:rowOff>43543</xdr:rowOff>
    </xdr:from>
    <xdr:to>
      <xdr:col>6</xdr:col>
      <xdr:colOff>76200</xdr:colOff>
      <xdr:row>145</xdr:row>
      <xdr:rowOff>43543</xdr:rowOff>
    </xdr:to>
    <xdr:cxnSp macro="">
      <xdr:nvCxnSpPr>
        <xdr:cNvPr id="8" name="Conector recto de flecha 7">
          <a:extLst>
            <a:ext uri="{FF2B5EF4-FFF2-40B4-BE49-F238E27FC236}">
              <a16:creationId xmlns:a16="http://schemas.microsoft.com/office/drawing/2014/main" id="{8EA62A3B-F1E5-4A89-981A-AF6CF92045A3}"/>
            </a:ext>
          </a:extLst>
        </xdr:cNvPr>
        <xdr:cNvCxnSpPr/>
      </xdr:nvCxnSpPr>
      <xdr:spPr>
        <a:xfrm>
          <a:off x="7620001" y="30784800"/>
          <a:ext cx="77288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18.xml><?xml version="1.0" encoding="utf-8"?>
<xdr:wsDr xmlns:xdr="http://schemas.openxmlformats.org/drawingml/2006/spreadsheetDrawing" xmlns:a="http://schemas.openxmlformats.org/drawingml/2006/main">
  <xdr:twoCellAnchor>
    <xdr:from>
      <xdr:col>7</xdr:col>
      <xdr:colOff>744070</xdr:colOff>
      <xdr:row>1</xdr:row>
      <xdr:rowOff>152399</xdr:rowOff>
    </xdr:from>
    <xdr:to>
      <xdr:col>16</xdr:col>
      <xdr:colOff>618564</xdr:colOff>
      <xdr:row>9</xdr:row>
      <xdr:rowOff>322729</xdr:rowOff>
    </xdr:to>
    <xdr:sp macro="" textlink="">
      <xdr:nvSpPr>
        <xdr:cNvPr id="2" name="CuadroTexto 1">
          <a:extLst>
            <a:ext uri="{FF2B5EF4-FFF2-40B4-BE49-F238E27FC236}">
              <a16:creationId xmlns:a16="http://schemas.microsoft.com/office/drawing/2014/main" id="{C291BFA5-29E3-C09D-8D75-53F55A6006FC}"/>
            </a:ext>
          </a:extLst>
        </xdr:cNvPr>
        <xdr:cNvSpPr txBox="1"/>
      </xdr:nvSpPr>
      <xdr:spPr>
        <a:xfrm>
          <a:off x="8390964" y="331693"/>
          <a:ext cx="6974541" cy="24204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kern="1200"/>
            <a:t>En el análisis del punto de equilibrio económico para el período 2024-2028, observamos que el año 2024 proyecta pérdidas debido a que la cantidad planificada, de 28,460.3 unidades, no alcanza el punto de equilibrio requerido, que es de 46,756.2 unidades. Esto significa que, durante el primer año, los ingresos no serán suficientes para cubrir la totalidad de los costos, tanto fijos como variables. Esto es algo común en las etapas iniciales de un proyecto, debido a la inversión necesaria para su puesta en marcha y consolidación.</a:t>
          </a:r>
        </a:p>
        <a:p>
          <a:endParaRPr lang="es-AR" sz="1100" kern="1200"/>
        </a:p>
        <a:p>
          <a:r>
            <a:rPr lang="es-AR" sz="1100" kern="1200"/>
            <a:t>A partir de 2025, la cantidad planificada supera el punto de equilibrio en todos los años, lo que asegura una rentabilidad creciente para el proyecto. Esto indica que lograremos cubrir nuestros costos y generar utilidades cada vez mayores, consolidando el crecimiento y la sostenibilidad del negocio a mediano y largo plazo. En particular, los años 2027 y 2028 reflejan un margen significativo entre la cantidad planificada y el punto de equilibrio, lo que nos asegura una sólida estabilidad financiera y una proyección positiva para el futuro.</a:t>
          </a:r>
        </a:p>
      </xdr:txBody>
    </xdr:sp>
    <xdr:clientData/>
  </xdr:twoCellAnchor>
  <xdr:twoCellAnchor>
    <xdr:from>
      <xdr:col>7</xdr:col>
      <xdr:colOff>726142</xdr:colOff>
      <xdr:row>10</xdr:row>
      <xdr:rowOff>107577</xdr:rowOff>
    </xdr:from>
    <xdr:to>
      <xdr:col>18</xdr:col>
      <xdr:colOff>134471</xdr:colOff>
      <xdr:row>20</xdr:row>
      <xdr:rowOff>89647</xdr:rowOff>
    </xdr:to>
    <xdr:sp macro="" textlink="">
      <xdr:nvSpPr>
        <xdr:cNvPr id="3" name="CuadroTexto 2">
          <a:extLst>
            <a:ext uri="{FF2B5EF4-FFF2-40B4-BE49-F238E27FC236}">
              <a16:creationId xmlns:a16="http://schemas.microsoft.com/office/drawing/2014/main" id="{6731C4AF-54FC-4D1E-8A4F-26F0DA84226E}"/>
            </a:ext>
          </a:extLst>
        </xdr:cNvPr>
        <xdr:cNvSpPr txBox="1"/>
      </xdr:nvSpPr>
      <xdr:spPr>
        <a:xfrm>
          <a:off x="8373036" y="2904565"/>
          <a:ext cx="8086164" cy="24204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kern="1200"/>
            <a:t>El análisis del punto de equilibrio financiero refleja un comportamiento típico de los proyectos en crecimiento. En la etapa inicial, se proyectan pérdidas debido a que la cantidad planificada no alcanza a cubrir los costos totales, lo que es común por la inversión requerida para la puesta en marcha.</a:t>
          </a:r>
        </a:p>
        <a:p>
          <a:endParaRPr lang="es-AR" sz="1100" kern="1200"/>
        </a:p>
        <a:p>
          <a:r>
            <a:rPr lang="es-AR" sz="1100" kern="1200"/>
            <a:t>A partir del segundo año, se observa un cambio positivo: la cantidad planificada supera el punto de equilibrio, marcando el inicio de la rentabilidad. Esto demuestra la capacidad del proyecto para cubrir costos y generar utilidades de manera creciente, evidenciando una consolidación progresiva que se connota en los años 2025 y 2026.</a:t>
          </a:r>
        </a:p>
        <a:p>
          <a:endParaRPr lang="es-AR" sz="1100" kern="1200"/>
        </a:p>
        <a:p>
          <a:r>
            <a:rPr lang="es-AR" sz="1100" kern="1200"/>
            <a:t>En los años posteriores, la rentabilidad se fortalece con un margen cada vez más amplio entre la producción planificada y el punto de equilibrio. Esto garantiza mayor estabilidad financiera y capacidad de reinversión, proyectando un negocio sostenible y sólido a largo plazo.</a:t>
          </a:r>
        </a:p>
      </xdr:txBody>
    </xdr:sp>
    <xdr:clientData/>
  </xdr:twoCellAnchor>
  <xdr:twoCellAnchor>
    <xdr:from>
      <xdr:col>7</xdr:col>
      <xdr:colOff>775446</xdr:colOff>
      <xdr:row>21</xdr:row>
      <xdr:rowOff>35859</xdr:rowOff>
    </xdr:from>
    <xdr:to>
      <xdr:col>13</xdr:col>
      <xdr:colOff>614081</xdr:colOff>
      <xdr:row>36</xdr:row>
      <xdr:rowOff>125506</xdr:rowOff>
    </xdr:to>
    <xdr:graphicFrame macro="">
      <xdr:nvGraphicFramePr>
        <xdr:cNvPr id="4" name="Gráfico 3">
          <a:extLst>
            <a:ext uri="{FF2B5EF4-FFF2-40B4-BE49-F238E27FC236}">
              <a16:creationId xmlns:a16="http://schemas.microsoft.com/office/drawing/2014/main" id="{DE28FECB-358A-BDEC-4258-92D0061FA50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editAs="oneCell">
    <xdr:from>
      <xdr:col>27</xdr:col>
      <xdr:colOff>88808</xdr:colOff>
      <xdr:row>3</xdr:row>
      <xdr:rowOff>657225</xdr:rowOff>
    </xdr:from>
    <xdr:to>
      <xdr:col>32</xdr:col>
      <xdr:colOff>65714</xdr:colOff>
      <xdr:row>13</xdr:row>
      <xdr:rowOff>52763</xdr:rowOff>
    </xdr:to>
    <xdr:pic>
      <xdr:nvPicPr>
        <xdr:cNvPr id="2" name="Imagen 1">
          <a:extLst>
            <a:ext uri="{FF2B5EF4-FFF2-40B4-BE49-F238E27FC236}">
              <a16:creationId xmlns:a16="http://schemas.microsoft.com/office/drawing/2014/main" id="{E1101896-A8C1-EA99-95E8-EF277B93617F}"/>
            </a:ext>
          </a:extLst>
        </xdr:cNvPr>
        <xdr:cNvPicPr>
          <a:picLocks noChangeAspect="1"/>
        </xdr:cNvPicPr>
      </xdr:nvPicPr>
      <xdr:blipFill>
        <a:blip xmlns:r="http://schemas.openxmlformats.org/officeDocument/2006/relationships" r:embed="rId1"/>
        <a:stretch>
          <a:fillRect/>
        </a:stretch>
      </xdr:blipFill>
      <xdr:spPr>
        <a:xfrm>
          <a:off x="23377433" y="1228725"/>
          <a:ext cx="3786906" cy="2275898"/>
        </a:xfrm>
        <a:prstGeom prst="rect">
          <a:avLst/>
        </a:prstGeom>
      </xdr:spPr>
    </xdr:pic>
    <xdr:clientData/>
  </xdr:twoCellAnchor>
  <xdr:twoCellAnchor editAs="oneCell">
    <xdr:from>
      <xdr:col>27</xdr:col>
      <xdr:colOff>47625</xdr:colOff>
      <xdr:row>13</xdr:row>
      <xdr:rowOff>114300</xdr:rowOff>
    </xdr:from>
    <xdr:to>
      <xdr:col>31</xdr:col>
      <xdr:colOff>723900</xdr:colOff>
      <xdr:row>22</xdr:row>
      <xdr:rowOff>127298</xdr:rowOff>
    </xdr:to>
    <xdr:pic>
      <xdr:nvPicPr>
        <xdr:cNvPr id="3" name="Imagen 2">
          <a:extLst>
            <a:ext uri="{FF2B5EF4-FFF2-40B4-BE49-F238E27FC236}">
              <a16:creationId xmlns:a16="http://schemas.microsoft.com/office/drawing/2014/main" id="{86B24C73-EEC0-86C1-E39D-F5EBAD216633}"/>
            </a:ext>
          </a:extLst>
        </xdr:cNvPr>
        <xdr:cNvPicPr>
          <a:picLocks noChangeAspect="1"/>
        </xdr:cNvPicPr>
      </xdr:nvPicPr>
      <xdr:blipFill>
        <a:blip xmlns:r="http://schemas.openxmlformats.org/officeDocument/2006/relationships" r:embed="rId2"/>
        <a:stretch>
          <a:fillRect/>
        </a:stretch>
      </xdr:blipFill>
      <xdr:spPr>
        <a:xfrm>
          <a:off x="23336250" y="3543300"/>
          <a:ext cx="3724275" cy="2695238"/>
        </a:xfrm>
        <a:prstGeom prst="rect">
          <a:avLst/>
        </a:prstGeom>
      </xdr:spPr>
    </xdr:pic>
    <xdr:clientData/>
  </xdr:twoCellAnchor>
  <xdr:twoCellAnchor editAs="oneCell">
    <xdr:from>
      <xdr:col>31</xdr:col>
      <xdr:colOff>685800</xdr:colOff>
      <xdr:row>14</xdr:row>
      <xdr:rowOff>19050</xdr:rowOff>
    </xdr:from>
    <xdr:to>
      <xdr:col>44</xdr:col>
      <xdr:colOff>379800</xdr:colOff>
      <xdr:row>22</xdr:row>
      <xdr:rowOff>144573</xdr:rowOff>
    </xdr:to>
    <xdr:pic>
      <xdr:nvPicPr>
        <xdr:cNvPr id="4" name="Imagen 3">
          <a:extLst>
            <a:ext uri="{FF2B5EF4-FFF2-40B4-BE49-F238E27FC236}">
              <a16:creationId xmlns:a16="http://schemas.microsoft.com/office/drawing/2014/main" id="{6F9D82A3-B8B5-6915-D8D9-8F74E5AB4A9B}"/>
            </a:ext>
          </a:extLst>
        </xdr:cNvPr>
        <xdr:cNvPicPr>
          <a:picLocks noChangeAspect="1"/>
        </xdr:cNvPicPr>
      </xdr:nvPicPr>
      <xdr:blipFill>
        <a:blip xmlns:r="http://schemas.openxmlformats.org/officeDocument/2006/relationships" r:embed="rId3"/>
        <a:stretch>
          <a:fillRect/>
        </a:stretch>
      </xdr:blipFill>
      <xdr:spPr>
        <a:xfrm>
          <a:off x="27022425" y="4591050"/>
          <a:ext cx="9600000" cy="16571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733424</xdr:colOff>
      <xdr:row>2</xdr:row>
      <xdr:rowOff>161925</xdr:rowOff>
    </xdr:from>
    <xdr:to>
      <xdr:col>14</xdr:col>
      <xdr:colOff>771524</xdr:colOff>
      <xdr:row>24</xdr:row>
      <xdr:rowOff>85725</xdr:rowOff>
    </xdr:to>
    <xdr:graphicFrame macro="">
      <xdr:nvGraphicFramePr>
        <xdr:cNvPr id="4" name="Gráfico 3">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739140</xdr:colOff>
      <xdr:row>25</xdr:row>
      <xdr:rowOff>175260</xdr:rowOff>
    </xdr:from>
    <xdr:to>
      <xdr:col>13</xdr:col>
      <xdr:colOff>632460</xdr:colOff>
      <xdr:row>28</xdr:row>
      <xdr:rowOff>112395</xdr:rowOff>
    </xdr:to>
    <xdr:sp macro="" textlink="">
      <xdr:nvSpPr>
        <xdr:cNvPr id="5" name="CuadroTexto 4">
          <a:extLst>
            <a:ext uri="{FF2B5EF4-FFF2-40B4-BE49-F238E27FC236}">
              <a16:creationId xmlns:a16="http://schemas.microsoft.com/office/drawing/2014/main" id="{00000000-0008-0000-0200-000005000000}"/>
            </a:ext>
          </a:extLst>
        </xdr:cNvPr>
        <xdr:cNvSpPr txBox="1"/>
      </xdr:nvSpPr>
      <xdr:spPr>
        <a:xfrm>
          <a:off x="4463415" y="4909185"/>
          <a:ext cx="6217920" cy="4895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b="1"/>
            <a:t>Fuente:</a:t>
          </a:r>
          <a:r>
            <a:rPr lang="es-AR" sz="1100" b="1" baseline="0"/>
            <a:t> </a:t>
          </a:r>
          <a:r>
            <a:rPr lang="es-AR" sz="1100" baseline="0"/>
            <a:t>INDEC.  Superficie autorizada por los permisos de edificación de 176 municipios en metros cuadrados.</a:t>
          </a:r>
        </a:p>
        <a:p>
          <a:endParaRPr lang="es-AR" sz="1100" baseline="0"/>
        </a:p>
        <a:p>
          <a:endParaRPr lang="es-AR" sz="1100"/>
        </a:p>
      </xdr:txBody>
    </xdr:sp>
    <xdr:clientData/>
  </xdr:twoCellAnchor>
  <xdr:twoCellAnchor>
    <xdr:from>
      <xdr:col>5</xdr:col>
      <xdr:colOff>81914</xdr:colOff>
      <xdr:row>41</xdr:row>
      <xdr:rowOff>138747</xdr:rowOff>
    </xdr:from>
    <xdr:to>
      <xdr:col>14</xdr:col>
      <xdr:colOff>752474</xdr:colOff>
      <xdr:row>63</xdr:row>
      <xdr:rowOff>123825</xdr:rowOff>
    </xdr:to>
    <xdr:graphicFrame macro="">
      <xdr:nvGraphicFramePr>
        <xdr:cNvPr id="6" name="Gráfico 5">
          <a:extLst>
            <a:ext uri="{FF2B5EF4-FFF2-40B4-BE49-F238E27FC236}">
              <a16:creationId xmlns:a16="http://schemas.microsoft.com/office/drawing/2014/main" id="{00000000-0008-0000-0200-000006000000}"/>
            </a:ext>
            <a:ext uri="{147F2762-F138-4A5C-976F-8EAC2B608ADB}">
              <a16:predDERef xmlns:a16="http://schemas.microsoft.com/office/drawing/2014/main" pred="{00000000-0008-0000-02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81915</xdr:colOff>
      <xdr:row>64</xdr:row>
      <xdr:rowOff>177165</xdr:rowOff>
    </xdr:from>
    <xdr:to>
      <xdr:col>13</xdr:col>
      <xdr:colOff>276225</xdr:colOff>
      <xdr:row>67</xdr:row>
      <xdr:rowOff>161925</xdr:rowOff>
    </xdr:to>
    <xdr:sp macro="" textlink="">
      <xdr:nvSpPr>
        <xdr:cNvPr id="7" name="CuadroTexto 6">
          <a:extLst>
            <a:ext uri="{FF2B5EF4-FFF2-40B4-BE49-F238E27FC236}">
              <a16:creationId xmlns:a16="http://schemas.microsoft.com/office/drawing/2014/main" id="{00000000-0008-0000-0200-000007000000}"/>
            </a:ext>
          </a:extLst>
        </xdr:cNvPr>
        <xdr:cNvSpPr txBox="1"/>
      </xdr:nvSpPr>
      <xdr:spPr>
        <a:xfrm>
          <a:off x="3806190" y="12245340"/>
          <a:ext cx="6518910" cy="5372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b="1"/>
            <a:t>Fuente:</a:t>
          </a:r>
          <a:r>
            <a:rPr lang="es-AR" sz="1100" b="1" baseline="0"/>
            <a:t> </a:t>
          </a:r>
          <a:r>
            <a:rPr lang="es-AR"/>
            <a:t>Gerencia Técnica de la C.A.C. sobre la base de Información Mensual del Gobierno de la Ciudad de Buenos Aires</a:t>
          </a:r>
          <a:endParaRPr lang="es-AR" sz="1100" baseline="0"/>
        </a:p>
        <a:p>
          <a:endParaRPr lang="es-AR" sz="1100"/>
        </a:p>
      </xdr:txBody>
    </xdr:sp>
    <xdr:clientData/>
  </xdr:twoCellAnchor>
  <xdr:twoCellAnchor>
    <xdr:from>
      <xdr:col>5</xdr:col>
      <xdr:colOff>78105</xdr:colOff>
      <xdr:row>68</xdr:row>
      <xdr:rowOff>120015</xdr:rowOff>
    </xdr:from>
    <xdr:to>
      <xdr:col>13</xdr:col>
      <xdr:colOff>299085</xdr:colOff>
      <xdr:row>72</xdr:row>
      <xdr:rowOff>39687</xdr:rowOff>
    </xdr:to>
    <xdr:sp macro="" textlink="">
      <xdr:nvSpPr>
        <xdr:cNvPr id="8" name="CuadroTexto 7">
          <a:extLst>
            <a:ext uri="{FF2B5EF4-FFF2-40B4-BE49-F238E27FC236}">
              <a16:creationId xmlns:a16="http://schemas.microsoft.com/office/drawing/2014/main" id="{00000000-0008-0000-0200-000008000000}"/>
            </a:ext>
          </a:extLst>
        </xdr:cNvPr>
        <xdr:cNvSpPr txBox="1"/>
      </xdr:nvSpPr>
      <xdr:spPr>
        <a:xfrm>
          <a:off x="3802380" y="12921615"/>
          <a:ext cx="6545580" cy="64357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b="0"/>
            <a:t>En base a las estadisticas de estos</a:t>
          </a:r>
          <a:r>
            <a:rPr lang="es-AR" sz="1100" b="0" baseline="0"/>
            <a:t> ultimos años, se puede decir que un 13% (solo considerando obras nuevas) de superficies aprobadas para llevar a cabo la construccion del total de metros cuadrados de total pais se concentra en solamente en CABA. </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457008</xdr:colOff>
      <xdr:row>58</xdr:row>
      <xdr:rowOff>21774</xdr:rowOff>
    </xdr:from>
    <xdr:to>
      <xdr:col>2</xdr:col>
      <xdr:colOff>2710544</xdr:colOff>
      <xdr:row>85</xdr:row>
      <xdr:rowOff>32657</xdr:rowOff>
    </xdr:to>
    <xdr:sp macro="" textlink="">
      <xdr:nvSpPr>
        <xdr:cNvPr id="2" name="CuadroTexto 1">
          <a:extLst>
            <a:ext uri="{FF2B5EF4-FFF2-40B4-BE49-F238E27FC236}">
              <a16:creationId xmlns:a16="http://schemas.microsoft.com/office/drawing/2014/main" id="{324BD148-BA98-EBDD-98DF-0A302EC87B7B}"/>
            </a:ext>
          </a:extLst>
        </xdr:cNvPr>
        <xdr:cNvSpPr txBox="1"/>
      </xdr:nvSpPr>
      <xdr:spPr>
        <a:xfrm>
          <a:off x="457008" y="10787745"/>
          <a:ext cx="4485107" cy="50074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a:t>Para</a:t>
          </a:r>
          <a:r>
            <a:rPr lang="es-AR" sz="1100" baseline="0"/>
            <a:t> la realizacion del cash flow, se tuvieron las siguientes consideracion:</a:t>
          </a:r>
        </a:p>
        <a:p>
          <a:endParaRPr lang="es-AR" sz="1100" baseline="0"/>
        </a:p>
        <a:p>
          <a:r>
            <a:rPr lang="es-AR" sz="1100" baseline="0"/>
            <a:t>- Que nuestros clientes nos realizan el pago de la venta, un 50% pagados a los 30 dias y el otro 50% pagado a los 60 dias.</a:t>
          </a:r>
        </a:p>
        <a:p>
          <a:endParaRPr lang="es-AR" sz="1100" baseline="0"/>
        </a:p>
        <a:p>
          <a:r>
            <a:rPr lang="es-AR" sz="1100" baseline="0"/>
            <a:t>- Que el pago a nuestros proveedores se realiza en el mismo momento que se les realiza la compra a los mismo.</a:t>
          </a:r>
        </a:p>
        <a:p>
          <a:endParaRPr lang="es-AR" sz="1100"/>
        </a:p>
        <a:p>
          <a:r>
            <a:rPr lang="es-AR" sz="1100"/>
            <a:t>- </a:t>
          </a:r>
          <a:r>
            <a:rPr lang="es-AR" sz="1100">
              <a:solidFill>
                <a:schemeClr val="dk1"/>
              </a:solidFill>
              <a:effectLst/>
              <a:latin typeface="+mn-lt"/>
              <a:ea typeface="+mn-ea"/>
              <a:cs typeface="+mn-cs"/>
            </a:rPr>
            <a:t>Para la consideracion del impuesto a las ganancias,</a:t>
          </a:r>
          <a:r>
            <a:rPr lang="es-AR" sz="1100" baseline="0">
              <a:solidFill>
                <a:schemeClr val="dk1"/>
              </a:solidFill>
              <a:effectLst/>
              <a:latin typeface="+mn-lt"/>
              <a:ea typeface="+mn-ea"/>
              <a:cs typeface="+mn-cs"/>
            </a:rPr>
            <a:t> se los porcentajes en base a  los valores para 2024, que se establecen en el siguiente link:  </a:t>
          </a:r>
          <a:endParaRPr lang="es-AR">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s-AR">
              <a:effectLst/>
            </a:rPr>
            <a:t>chrome-extension://efaidnbmnnnibpcajpcglclefindmkaj/https://www.afip.gob.ar/gananciasYBienes/ganancias/personas-juridicas/determinacion/documentos/Ganancias-Escala-PJ-2024.pdf</a:t>
          </a:r>
        </a:p>
        <a:p>
          <a:endParaRPr lang="es-AR" sz="1100"/>
        </a:p>
        <a:p>
          <a:r>
            <a:rPr lang="es-AR" sz="1100"/>
            <a:t>- Para</a:t>
          </a:r>
          <a:r>
            <a:rPr lang="es-AR" sz="1100" baseline="0"/>
            <a:t> la consideracion de la tasa de descuento, se decidio hacer uso de una obligacion negocibles en dolares de alguna empresa argentina, cuyo riesgo de inversion sea similar al nuestro (dejando de lado grandes corporaciones). Se decidio hacer uso de la ON de la emprea SURCOS S.A que es de 12,53% </a:t>
          </a:r>
        </a:p>
        <a:p>
          <a:endParaRPr lang="es-AR" sz="1100" baseline="0"/>
        </a:p>
        <a:p>
          <a:r>
            <a:rPr lang="es-AR" sz="1100" baseline="0"/>
            <a:t>- Para la conversion de peso a dolar, se utilizo la cotizaicon del valor dolar oficial venta del Banco Nacion. Link: https://www.bna.com.ar/Personas.</a:t>
          </a:r>
        </a:p>
        <a:p>
          <a:endParaRPr lang="es-AR" sz="1100" baseline="0"/>
        </a:p>
        <a:p>
          <a:r>
            <a:rPr lang="es-AR" sz="1100" baseline="0"/>
            <a:t>- Para el caso de ingresos brutos, se considera la ley impositiva del 2024, correspondinete a la provincia de buenos aires. Link: chrome-extension://efaidnbmnnnibpcajpcglclefindmkaj/https://www.arba.gov.ar/archivos/Publicaciones/leyimpositiva2024.pdf</a:t>
          </a:r>
        </a:p>
        <a:p>
          <a:endParaRPr lang="es-AR" sz="11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10</xdr:col>
      <xdr:colOff>0</xdr:colOff>
      <xdr:row>11</xdr:row>
      <xdr:rowOff>185056</xdr:rowOff>
    </xdr:from>
    <xdr:to>
      <xdr:col>16</xdr:col>
      <xdr:colOff>838200</xdr:colOff>
      <xdr:row>36</xdr:row>
      <xdr:rowOff>10885</xdr:rowOff>
    </xdr:to>
    <xdr:sp macro="" textlink="">
      <xdr:nvSpPr>
        <xdr:cNvPr id="2" name="CuadroTexto 1">
          <a:extLst>
            <a:ext uri="{FF2B5EF4-FFF2-40B4-BE49-F238E27FC236}">
              <a16:creationId xmlns:a16="http://schemas.microsoft.com/office/drawing/2014/main" id="{00000000-0008-0000-1000-000002000000}"/>
            </a:ext>
          </a:extLst>
        </xdr:cNvPr>
        <xdr:cNvSpPr txBox="1"/>
      </xdr:nvSpPr>
      <xdr:spPr>
        <a:xfrm>
          <a:off x="9677400" y="2111827"/>
          <a:ext cx="9263743" cy="4463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AR" sz="1100"/>
        </a:p>
        <a:p>
          <a:r>
            <a:rPr lang="es-AR" sz="1100"/>
            <a:t>Para</a:t>
          </a:r>
          <a:r>
            <a:rPr lang="es-AR" sz="1100" baseline="0"/>
            <a:t> la determinacion de la financiacion, tendremos en cuenta el capital de trabajo y la inversion a realizar, ya que, para cada uno de ellos, se solicitaran prestamos diferentes, en donde, cambian losm plazos de pago al igual que los plazos de financiacion. En lo que respecta el capital de trabajo, se tomara el mayor negativo de los saldos acumulados del cash flow. La suma de ambos, nos determinan la necesidad de dinero que requiere nuestra organizacion, para pider </a:t>
          </a:r>
        </a:p>
        <a:p>
          <a:endParaRPr lang="es-AR" sz="1100"/>
        </a:p>
        <a:p>
          <a:r>
            <a:rPr lang="es-AR" sz="1100"/>
            <a:t>Si bien existen algunos</a:t>
          </a:r>
          <a:r>
            <a:rPr lang="es-AR" sz="1100" baseline="0"/>
            <a:t> medios donde conseguir financiacion al respecto:</a:t>
          </a:r>
        </a:p>
        <a:p>
          <a:endParaRPr lang="es-AR" sz="1100"/>
        </a:p>
        <a:p>
          <a:r>
            <a:rPr lang="es-AR" sz="1100" b="1" i="0" u="none"/>
            <a:t>CreAr Créditos Directos FONDEP para micro y pequeñas empresas</a:t>
          </a:r>
        </a:p>
        <a:p>
          <a:r>
            <a:rPr lang="es-AR" sz="1100" b="1" u="none"/>
            <a:t>Ministerio de Economía</a:t>
          </a:r>
        </a:p>
        <a:p>
          <a:r>
            <a:rPr lang="es-AR" sz="1100" b="1" u="none"/>
            <a:t>Banco nacion.</a:t>
          </a:r>
        </a:p>
        <a:p>
          <a:r>
            <a:rPr lang="es-AR" sz="1100" b="1" u="none"/>
            <a:t>Industria y Desarrollo Productivo</a:t>
          </a:r>
        </a:p>
        <a:p>
          <a:endParaRPr lang="es-AR" sz="1100">
            <a:solidFill>
              <a:schemeClr val="dk1"/>
            </a:solidFill>
            <a:effectLst/>
            <a:latin typeface="+mn-lt"/>
            <a:ea typeface="+mn-ea"/>
            <a:cs typeface="+mn-cs"/>
          </a:endParaRPr>
        </a:p>
        <a:p>
          <a:r>
            <a:rPr lang="es-AR" sz="1100">
              <a:solidFill>
                <a:schemeClr val="dk1"/>
              </a:solidFill>
              <a:effectLst/>
              <a:latin typeface="+mn-lt"/>
              <a:ea typeface="+mn-ea"/>
              <a:cs typeface="+mn-cs"/>
            </a:rPr>
            <a:t>En</a:t>
          </a:r>
          <a:r>
            <a:rPr lang="es-AR" sz="1100" baseline="0">
              <a:solidFill>
                <a:schemeClr val="dk1"/>
              </a:solidFill>
              <a:effectLst/>
              <a:latin typeface="+mn-lt"/>
              <a:ea typeface="+mn-ea"/>
              <a:cs typeface="+mn-cs"/>
            </a:rPr>
            <a:t> base a nuestra situacion, se buscara acceder a creditos en la misma moneda que debemos realizar la inversion y que se han realizado todos los calculos al respecto. </a:t>
          </a:r>
          <a:endParaRPr lang="es-AR" sz="1100">
            <a:solidFill>
              <a:schemeClr val="dk1"/>
            </a:solidFill>
            <a:effectLst/>
            <a:latin typeface="+mn-lt"/>
            <a:ea typeface="+mn-ea"/>
            <a:cs typeface="+mn-cs"/>
          </a:endParaRPr>
        </a:p>
        <a:p>
          <a:r>
            <a:rPr lang="es-AR" sz="1100"/>
            <a:t>En el caso del banco Nacion, el mismo ofrece creditos tanto sea para inversion</a:t>
          </a:r>
          <a:r>
            <a:rPr lang="es-AR" sz="1100" baseline="0"/>
            <a:t> y capital de trabajo en dolares. En nuestro caso, al tratarse de una pequeña empresa, la misma se puede copnsiderar dentro del marco de Mipyme del banco nacion y acceder al credito con una tasa de un 1,5% TNA fija en dolares, lo unico que cambia, son los plazos de pago, ya que, para el caso de inversion, la misma es de 48 meses y para capital de trabajo es de 12 meses.</a:t>
          </a:r>
          <a:endParaRPr lang="es-AR" sz="1100"/>
        </a:p>
        <a:p>
          <a:endParaRPr lang="es-AR" sz="1100"/>
        </a:p>
        <a:p>
          <a:endParaRPr lang="es-AR" sz="1100"/>
        </a:p>
        <a:p>
          <a:r>
            <a:rPr lang="es-AR" sz="1100"/>
            <a:t>Link: https://www.bna.com.ar/home/expoagro2024_creditos</a:t>
          </a:r>
        </a:p>
        <a:p>
          <a:endParaRPr lang="es-AR" sz="1100"/>
        </a:p>
        <a:p>
          <a:pPr marL="0" marR="0" lvl="0" indent="0" defTabSz="914400" eaLnBrk="1" fontAlgn="auto" latinLnBrk="0" hangingPunct="1">
            <a:lnSpc>
              <a:spcPct val="100000"/>
            </a:lnSpc>
            <a:spcBef>
              <a:spcPts val="0"/>
            </a:spcBef>
            <a:spcAft>
              <a:spcPts val="0"/>
            </a:spcAft>
            <a:buClrTx/>
            <a:buSzTx/>
            <a:buFontTx/>
            <a:buNone/>
            <a:tabLst/>
            <a:defRPr/>
          </a:pPr>
          <a:r>
            <a:rPr lang="es-AR" sz="1100"/>
            <a:t>Otra posibilidad</a:t>
          </a:r>
          <a:r>
            <a:rPr lang="es-AR" sz="1100" baseline="0"/>
            <a:t> de financiacion, es a traves de este credito del banco nacion, que tambien esta destinado para lo que respecta la inversion productiva en nuestro pais,  Link: </a:t>
          </a:r>
          <a:r>
            <a:rPr lang="es-AR" sz="1100">
              <a:solidFill>
                <a:schemeClr val="dk1"/>
              </a:solidFill>
              <a:effectLst/>
              <a:latin typeface="+mn-lt"/>
              <a:ea typeface="+mn-ea"/>
              <a:cs typeface="+mn-cs"/>
            </a:rPr>
            <a:t>https://www.bna.com.ar/Empresas/Pymes/CreditoInversionProductivaINV</a:t>
          </a:r>
          <a:endParaRPr lang="es-AR">
            <a:effectLst/>
          </a:endParaRPr>
        </a:p>
        <a:p>
          <a:endParaRPr lang="es-AR" sz="1100"/>
        </a:p>
        <a:p>
          <a:endParaRPr lang="es-AR" sz="1100"/>
        </a:p>
        <a:p>
          <a:endParaRPr lang="es-AR" sz="1100"/>
        </a:p>
        <a:p>
          <a:endParaRPr lang="es-AR" sz="1100"/>
        </a:p>
      </xdr:txBody>
    </xdr:sp>
    <xdr:clientData/>
  </xdr:twoCellAnchor>
  <xdr:twoCellAnchor>
    <xdr:from>
      <xdr:col>13</xdr:col>
      <xdr:colOff>43541</xdr:colOff>
      <xdr:row>37</xdr:row>
      <xdr:rowOff>21772</xdr:rowOff>
    </xdr:from>
    <xdr:to>
      <xdr:col>16</xdr:col>
      <xdr:colOff>1023256</xdr:colOff>
      <xdr:row>57</xdr:row>
      <xdr:rowOff>141514</xdr:rowOff>
    </xdr:to>
    <xdr:graphicFrame macro="">
      <xdr:nvGraphicFramePr>
        <xdr:cNvPr id="3" name="Gráfico 2">
          <a:extLst>
            <a:ext uri="{FF2B5EF4-FFF2-40B4-BE49-F238E27FC236}">
              <a16:creationId xmlns:a16="http://schemas.microsoft.com/office/drawing/2014/main" id="{C3BBF1E8-79F1-4E39-BAAE-8D8EC052DFD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12</xdr:col>
      <xdr:colOff>412378</xdr:colOff>
      <xdr:row>3</xdr:row>
      <xdr:rowOff>170329</xdr:rowOff>
    </xdr:from>
    <xdr:to>
      <xdr:col>18</xdr:col>
      <xdr:colOff>412376</xdr:colOff>
      <xdr:row>7</xdr:row>
      <xdr:rowOff>35857</xdr:rowOff>
    </xdr:to>
    <xdr:sp macro="" textlink="">
      <xdr:nvSpPr>
        <xdr:cNvPr id="2" name="CuadroTexto 1">
          <a:extLst>
            <a:ext uri="{FF2B5EF4-FFF2-40B4-BE49-F238E27FC236}">
              <a16:creationId xmlns:a16="http://schemas.microsoft.com/office/drawing/2014/main" id="{00000000-0008-0000-1100-000002000000}"/>
            </a:ext>
          </a:extLst>
        </xdr:cNvPr>
        <xdr:cNvSpPr txBox="1"/>
      </xdr:nvSpPr>
      <xdr:spPr>
        <a:xfrm>
          <a:off x="15930284" y="358588"/>
          <a:ext cx="3657598" cy="6633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b="1" u="sng"/>
            <a:t>AMORTIZACIONES</a:t>
          </a:r>
        </a:p>
        <a:p>
          <a:r>
            <a:rPr lang="es-AR" sz="1100"/>
            <a:t>Se implementa el método de amortización constante (de cuota fija)</a:t>
          </a:r>
        </a:p>
      </xdr:txBody>
    </xdr:sp>
    <xdr:clientData/>
  </xdr:twoCellAnchor>
  <xdr:twoCellAnchor>
    <xdr:from>
      <xdr:col>12</xdr:col>
      <xdr:colOff>424544</xdr:colOff>
      <xdr:row>8</xdr:row>
      <xdr:rowOff>103094</xdr:rowOff>
    </xdr:from>
    <xdr:to>
      <xdr:col>21</xdr:col>
      <xdr:colOff>54428</xdr:colOff>
      <xdr:row>25</xdr:row>
      <xdr:rowOff>54429</xdr:rowOff>
    </xdr:to>
    <xdr:graphicFrame macro="">
      <xdr:nvGraphicFramePr>
        <xdr:cNvPr id="6" name="Gráfico 5">
          <a:extLst>
            <a:ext uri="{FF2B5EF4-FFF2-40B4-BE49-F238E27FC236}">
              <a16:creationId xmlns:a16="http://schemas.microsoft.com/office/drawing/2014/main" id="{B5F9CB92-A1A7-C9EC-FCE6-1A071D76F4B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5</xdr:col>
      <xdr:colOff>597049</xdr:colOff>
      <xdr:row>2</xdr:row>
      <xdr:rowOff>181983</xdr:rowOff>
    </xdr:from>
    <xdr:to>
      <xdr:col>16</xdr:col>
      <xdr:colOff>430497</xdr:colOff>
      <xdr:row>24</xdr:row>
      <xdr:rowOff>33169</xdr:rowOff>
    </xdr:to>
    <xdr:sp macro="" textlink="">
      <xdr:nvSpPr>
        <xdr:cNvPr id="2" name="CuadroTexto 1">
          <a:extLst>
            <a:ext uri="{FF2B5EF4-FFF2-40B4-BE49-F238E27FC236}">
              <a16:creationId xmlns:a16="http://schemas.microsoft.com/office/drawing/2014/main" id="{6D452C41-CF48-4854-BCCA-FD153FEFEDDF}"/>
            </a:ext>
          </a:extLst>
        </xdr:cNvPr>
        <xdr:cNvSpPr txBox="1"/>
      </xdr:nvSpPr>
      <xdr:spPr>
        <a:xfrm>
          <a:off x="7087496" y="540571"/>
          <a:ext cx="8511283" cy="36701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baseline="0"/>
            <a:t>Para realizar el análisis de sensibilidad hemos tomado las siguientes variables:</a:t>
          </a:r>
        </a:p>
        <a:p>
          <a:endParaRPr lang="es-AR" sz="1100" baseline="0"/>
        </a:p>
        <a:p>
          <a:r>
            <a:rPr lang="es-AR" sz="1100" b="1" baseline="0"/>
            <a:t>COSTO DE MP</a:t>
          </a:r>
        </a:p>
        <a:p>
          <a:r>
            <a:rPr lang="es-AR" sz="1100" b="1" baseline="0"/>
            <a:t>COSTO DE MOD</a:t>
          </a:r>
        </a:p>
        <a:p>
          <a:pPr marL="0" marR="0" lvl="0" indent="0" defTabSz="914400" eaLnBrk="1" fontAlgn="auto" latinLnBrk="0" hangingPunct="1">
            <a:lnSpc>
              <a:spcPct val="100000"/>
            </a:lnSpc>
            <a:spcBef>
              <a:spcPts val="0"/>
            </a:spcBef>
            <a:spcAft>
              <a:spcPts val="0"/>
            </a:spcAft>
            <a:buClrTx/>
            <a:buSzTx/>
            <a:buFontTx/>
            <a:buNone/>
            <a:tabLst/>
            <a:defRPr/>
          </a:pPr>
          <a:r>
            <a:rPr lang="es-AR" sz="1100" b="1" baseline="0">
              <a:solidFill>
                <a:schemeClr val="dk1"/>
              </a:solidFill>
              <a:effectLst/>
              <a:latin typeface="+mn-lt"/>
              <a:ea typeface="+mn-ea"/>
              <a:cs typeface="+mn-cs"/>
            </a:rPr>
            <a:t>COSTO DE CCP</a:t>
          </a:r>
          <a:endParaRPr lang="es-AR" sz="1100" b="1" baseline="0"/>
        </a:p>
        <a:p>
          <a:r>
            <a:rPr lang="es-AR" sz="1100" b="1" baseline="0"/>
            <a:t>GASTOS</a:t>
          </a:r>
        </a:p>
        <a:p>
          <a:endParaRPr lang="es-AR" sz="1100" baseline="0"/>
        </a:p>
        <a:p>
          <a:r>
            <a:rPr lang="es-AR" sz="1100"/>
            <a:t>En primer lugar, se puede concluir que las variables más sensibles son el costo de la materia prima en</a:t>
          </a:r>
          <a:r>
            <a:rPr lang="es-AR" sz="1100" baseline="0"/>
            <a:t> los años 2024 y 2025 </a:t>
          </a:r>
          <a:r>
            <a:rPr lang="es-AR" sz="1100"/>
            <a:t>y los gastos, en los años 2024</a:t>
          </a:r>
          <a:r>
            <a:rPr lang="es-AR" sz="1100" baseline="0"/>
            <a:t> </a:t>
          </a:r>
          <a:r>
            <a:rPr lang="es-AR" sz="1100"/>
            <a:t>y 2025, debido a que:</a:t>
          </a:r>
        </a:p>
        <a:p>
          <a:r>
            <a:rPr lang="es-AR" sz="1100"/>
            <a:t> </a:t>
          </a:r>
        </a:p>
        <a:p>
          <a:r>
            <a:rPr lang="es-AR" sz="1100"/>
            <a:t>Los costos de materia prima representan en promedio un 58% del total de los egresos y los gastos generales un 34%.</a:t>
          </a:r>
        </a:p>
        <a:p>
          <a:r>
            <a:rPr lang="es-AR" sz="1100"/>
            <a:t>Los costos de mano de obra directa y los costos comunes de producción representan cada uno aproximadamente el 4% del total de los egresos.</a:t>
          </a:r>
        </a:p>
        <a:p>
          <a:endParaRPr lang="es-AR" sz="1100"/>
        </a:p>
        <a:p>
          <a:r>
            <a:rPr lang="es-AR" sz="1100"/>
            <a:t>En segundo lugar, según los resultados obtenidos, podemos afirmar que, en el análisis de las cuatro variables consideradas, aquellas que son más sensibles, al variar cerca de un 30%, provocan que el VAN sea cero. Esto significa que, para los inversores de nuestro negocio, no habría diferencia entre invertir en él o simplemente realizar una inversión sobre los bonos de los Estados Unidos, por lo tanto, estas variables deben ser controladas y, si se desvían de lo planeado, será necesario tomar las acciones correspondientes. Con respecto a las dos variables de mayor impacto, nuestros planes de acción serían los siguientes:</a:t>
          </a:r>
        </a:p>
        <a:p>
          <a:endParaRPr lang="es-AR" sz="1100"/>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68</xdr:col>
      <xdr:colOff>736004</xdr:colOff>
      <xdr:row>26</xdr:row>
      <xdr:rowOff>151954</xdr:rowOff>
    </xdr:from>
    <xdr:to>
      <xdr:col>73</xdr:col>
      <xdr:colOff>1147483</xdr:colOff>
      <xdr:row>41</xdr:row>
      <xdr:rowOff>35859</xdr:rowOff>
    </xdr:to>
    <xdr:sp macro="" textlink="">
      <xdr:nvSpPr>
        <xdr:cNvPr id="2" name="CuadroTexto 1">
          <a:extLst>
            <a:ext uri="{FF2B5EF4-FFF2-40B4-BE49-F238E27FC236}">
              <a16:creationId xmlns:a16="http://schemas.microsoft.com/office/drawing/2014/main" id="{79C4E0C9-CA21-FE45-B3C4-4852C9D24091}"/>
            </a:ext>
          </a:extLst>
        </xdr:cNvPr>
        <xdr:cNvSpPr txBox="1"/>
      </xdr:nvSpPr>
      <xdr:spPr>
        <a:xfrm>
          <a:off x="10355133" y="4957036"/>
          <a:ext cx="8219738" cy="26091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a:t>Temas a tener en cuenta:</a:t>
          </a:r>
        </a:p>
        <a:p>
          <a:endParaRPr lang="es-AR" sz="1100"/>
        </a:p>
        <a:p>
          <a:r>
            <a:rPr lang="es-AR" sz="1100"/>
            <a:t>El desarrollo de los escenarios, se realizaron todos en archivos de excel aparte para analizar</a:t>
          </a:r>
          <a:r>
            <a:rPr lang="es-AR" sz="1100" baseline="0"/>
            <a:t> bien todos los parametros y no confundir con el escenario planteado. En esta hoja solamente se colocan las tablas a nuestro entender mas importantes que nos permiten ver bien todo el panorama en cuention.</a:t>
          </a:r>
        </a:p>
        <a:p>
          <a:endParaRPr lang="es-AR" sz="1100" baseline="0"/>
        </a:p>
        <a:p>
          <a:r>
            <a:rPr lang="es-AR" sz="1100" baseline="0"/>
            <a:t>En el caso de este escenario optimista, solamente se incremento la demanda en un 20%, pero sin realizar niungun tipo de modificacion en la planificacion de la produccion, en lo que respecta, la compra de maquinarias, la cantida dde personal necesario, la cantidad de turno a trabajar, la capacidad utilizada, etc. Es por ello, que en este caso, el principal inconveniente se observa en el punto de que no se va a poder hacer frente al incremento de la demanda con el escenario base, no pudiendo incluso satisfacer la demanda.</a:t>
          </a:r>
        </a:p>
        <a:p>
          <a:endParaRPr lang="es-AR" sz="1100" baseline="0"/>
        </a:p>
        <a:p>
          <a:r>
            <a:rPr lang="es-AR" sz="1100" baseline="0"/>
            <a:t>Se observa que tanto los ingresos como los indicadores, al igual que la VAN y TIR, se ven muy favorecidas en este escenario, pero la realidad, es que hay mucha demanda que no vamos a poder satisfacer, y que puede generar perdida de clientes, entre otros inconvenientes (en este punto ver la diferencia, entre la demanda anual y lo que verdaderamente se vende).</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69</xdr:col>
      <xdr:colOff>76200</xdr:colOff>
      <xdr:row>26</xdr:row>
      <xdr:rowOff>141515</xdr:rowOff>
    </xdr:from>
    <xdr:to>
      <xdr:col>74</xdr:col>
      <xdr:colOff>784795</xdr:colOff>
      <xdr:row>39</xdr:row>
      <xdr:rowOff>141515</xdr:rowOff>
    </xdr:to>
    <xdr:sp macro="" textlink="">
      <xdr:nvSpPr>
        <xdr:cNvPr id="2" name="CuadroTexto 1">
          <a:extLst>
            <a:ext uri="{FF2B5EF4-FFF2-40B4-BE49-F238E27FC236}">
              <a16:creationId xmlns:a16="http://schemas.microsoft.com/office/drawing/2014/main" id="{E8A42C6F-AAAF-4614-8F14-433D4DFB42BD}"/>
            </a:ext>
          </a:extLst>
        </xdr:cNvPr>
        <xdr:cNvSpPr txBox="1"/>
      </xdr:nvSpPr>
      <xdr:spPr>
        <a:xfrm>
          <a:off x="10733314" y="5116286"/>
          <a:ext cx="8219738" cy="2438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AR" sz="1100"/>
        </a:p>
        <a:p>
          <a:r>
            <a:rPr lang="es-AR" sz="1100" baseline="0"/>
            <a:t>En el desarollo de este apartado, se parte del escenario optimista anterior, con un incremento de la demanda de un 20%, pero se introducen modificaciones en las diferentes estartegias de la organizacion para poder hacer frente a esta demanda. En este caso, como en nuestro escenario base, la capacidad utilizada es relativamente elevada, al realizar este incremento, genera que tengamos que agregar un turno en el año 2024 (es decir que arancamos el proyecto con dos turno productivos) y que tengamos que agregar un tercer turno para el año 2027, el cual, teniamos planificado agregarlo en el año 2028.</a:t>
          </a:r>
        </a:p>
        <a:p>
          <a:endParaRPr lang="es-AR" sz="1100" baseline="0"/>
        </a:p>
        <a:p>
          <a:r>
            <a:rPr lang="es-AR" sz="1100" baseline="0"/>
            <a:t>Por otra parte, si uno analiza la VAN de este escenario respecto del escenario base va a ser relativamente mayor, pero la TIR va a ser un 3% menos, esto se explica desde el punto de vista que la inversion a realizar para este escenario va a ser mayor, decbido a un incremento en el capital de trabajo inicial para la puesta en funcionamiento de la organizacion. Sin embargo, estas nuevas estrategias, nos permitiran poder cumplir con la demanda incrementada, evitando posibles perdidas de clientes.</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68</xdr:col>
      <xdr:colOff>753034</xdr:colOff>
      <xdr:row>25</xdr:row>
      <xdr:rowOff>125506</xdr:rowOff>
    </xdr:from>
    <xdr:to>
      <xdr:col>74</xdr:col>
      <xdr:colOff>116541</xdr:colOff>
      <xdr:row>33</xdr:row>
      <xdr:rowOff>170330</xdr:rowOff>
    </xdr:to>
    <xdr:sp macro="" textlink="">
      <xdr:nvSpPr>
        <xdr:cNvPr id="2" name="CuadroTexto 1">
          <a:extLst>
            <a:ext uri="{FF2B5EF4-FFF2-40B4-BE49-F238E27FC236}">
              <a16:creationId xmlns:a16="http://schemas.microsoft.com/office/drawing/2014/main" id="{F4E48378-5420-D2F5-7BD2-5B8CDA693497}"/>
            </a:ext>
          </a:extLst>
        </xdr:cNvPr>
        <xdr:cNvSpPr txBox="1"/>
      </xdr:nvSpPr>
      <xdr:spPr>
        <a:xfrm>
          <a:off x="10363199" y="4751294"/>
          <a:ext cx="7566213" cy="14971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a:t>Como</a:t>
          </a:r>
          <a:r>
            <a:rPr lang="es-AR" sz="1100" baseline="0"/>
            <a:t> apreciaciones del analisis de este escenario podemos remarcar:</a:t>
          </a:r>
        </a:p>
        <a:p>
          <a:endParaRPr lang="es-AR" sz="1100" baseline="0"/>
        </a:p>
        <a:p>
          <a:r>
            <a:rPr lang="es-AR" sz="1100" baseline="0"/>
            <a:t>- El hecho de acumular inventario en años anteriores, para poder aforntar demandas futuras, es un riesgo que se corre y que nos puede impactar fuertemente en los resultados en caso de que la demanda no sea la espera, siempre y cuando se mantengan los parametros de planificacion de fabricacion respecto del escenario base, por lo que, sera muy importante analizar periodo a periodo al mercado, observando los incremento o posibles decrementos de la demanda y modificando nuestra produccion en caso de que se haga efectivo este escenario en concreto.</a:t>
          </a:r>
          <a:endParaRPr lang="es-AR" sz="1100"/>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68</xdr:col>
      <xdr:colOff>768275</xdr:colOff>
      <xdr:row>26</xdr:row>
      <xdr:rowOff>164055</xdr:rowOff>
    </xdr:from>
    <xdr:to>
      <xdr:col>75</xdr:col>
      <xdr:colOff>532055</xdr:colOff>
      <xdr:row>39</xdr:row>
      <xdr:rowOff>53788</xdr:rowOff>
    </xdr:to>
    <xdr:sp macro="" textlink="">
      <xdr:nvSpPr>
        <xdr:cNvPr id="2" name="CuadroTexto 1">
          <a:extLst>
            <a:ext uri="{FF2B5EF4-FFF2-40B4-BE49-F238E27FC236}">
              <a16:creationId xmlns:a16="http://schemas.microsoft.com/office/drawing/2014/main" id="{EFAE1F49-7105-4DFF-52AF-0BD9B71C6F9D}"/>
            </a:ext>
          </a:extLst>
        </xdr:cNvPr>
        <xdr:cNvSpPr txBox="1"/>
      </xdr:nvSpPr>
      <xdr:spPr>
        <a:xfrm>
          <a:off x="10647381" y="4969137"/>
          <a:ext cx="8997427" cy="22564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a:t>Como analisis de este escenario, se puede plantear lo siguientes:</a:t>
          </a:r>
        </a:p>
        <a:p>
          <a:endParaRPr lang="es-AR" sz="1100"/>
        </a:p>
        <a:p>
          <a:r>
            <a:rPr lang="es-AR" sz="1100"/>
            <a:t>- Como se detecto en el anterior</a:t>
          </a:r>
          <a:r>
            <a:rPr lang="es-AR" sz="1100" baseline="0"/>
            <a:t> escenario pesimista, uno de los principales problemas que encoentramos se debia al gran acumulamiento de inventario y los innecesarios niveles de fabricacion que poseiamos. Para contrarrestar los mismos, decidimos atrasar las inversiones en compra de maquinaria y en la contratacion de personal y tratar de apalancar la demanda de algunos periodos con ese inventario sobrante. En el escenario base, la segunda maquina la adquirimso en el tercer año y en este la adquirimos en le cuarto año de ejecucion del proyecto.</a:t>
          </a:r>
        </a:p>
        <a:p>
          <a:endParaRPr lang="es-AR" sz="1100" baseline="0"/>
        </a:p>
        <a:p>
          <a:r>
            <a:rPr lang="es-AR" sz="1100" baseline="0"/>
            <a:t>- Podriamos decir, que en el escenario base, la capacidad que estabamos utilizando para ciertos periodos era bastante exigente, sobre todo considerando que en la practica suele rondar en un 80%, por lo que, en este escenario, si bien en algunos lapsos del analisis la capacidad utilizada es alta, nos permite evitar la contratacion de maquinas o personas de forma anticipada. Por otra parte, es importante decir, que con las modificaciones hechas, se logra una buena tasa interna de retorno, siendo positivo para el analisis, pero incrementa el capital de trabajo, producto que nos es neesario mas tiempo para poder cubirir los gastos con las ganancias debido a una reduccion en la demanda.</a:t>
          </a:r>
          <a:endParaRPr lang="es-AR" sz="1100"/>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0</xdr:col>
      <xdr:colOff>495300</xdr:colOff>
      <xdr:row>11</xdr:row>
      <xdr:rowOff>22860</xdr:rowOff>
    </xdr:from>
    <xdr:to>
      <xdr:col>8</xdr:col>
      <xdr:colOff>266700</xdr:colOff>
      <xdr:row>32</xdr:row>
      <xdr:rowOff>15240</xdr:rowOff>
    </xdr:to>
    <xdr:sp macro="" textlink="">
      <xdr:nvSpPr>
        <xdr:cNvPr id="2" name="CuadroTexto 1">
          <a:extLst>
            <a:ext uri="{FF2B5EF4-FFF2-40B4-BE49-F238E27FC236}">
              <a16:creationId xmlns:a16="http://schemas.microsoft.com/office/drawing/2014/main" id="{B95C16E3-6B04-BCA6-AB45-4C2E6B002733}"/>
            </a:ext>
          </a:extLst>
        </xdr:cNvPr>
        <xdr:cNvSpPr txBox="1"/>
      </xdr:nvSpPr>
      <xdr:spPr>
        <a:xfrm>
          <a:off x="495300" y="2057400"/>
          <a:ext cx="7650480" cy="38328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a:t>Si se realiza un analisis de los escenarios planteados,</a:t>
          </a:r>
          <a:r>
            <a:rPr lang="es-AR" sz="1100" baseline="0"/>
            <a:t> con incremento y decrementos de la demananda en un 20% respecto del escenario base, podemos decir, que los resultados de VAN y TIR para cada uno de ellos, son en cierta medida los esperados. En el caso de los escenarios optimistas, arrojaron resultados positivos/cercanos y los pesimista peores respecto de los escenarios base. </a:t>
          </a:r>
        </a:p>
        <a:p>
          <a:r>
            <a:rPr lang="es-AR" sz="1100" baseline="0"/>
            <a:t>Como conclusion, podemos establecer, que si bien en el caso del escenario optimista sin correccion los valores obtenidos resultan incluso mejores respecto del corregido, la realidad es que en dicho escenario se incurre en muchos incumplimientos respecto de neustros clientes, por lo que, no es beneficioso para nuestra organizacion, sobre todo pensando en su crecimiento a largo plazo y en generar la fiabiliadad con nuestra cleintela, lo cual, resulta de mucha importancia. Por eso, es recomendable realizar las modificaciones que se introdujeron en el escenario optimista corregido.</a:t>
          </a:r>
        </a:p>
        <a:p>
          <a:endParaRPr lang="es-AR" sz="1100" baseline="0"/>
        </a:p>
        <a:p>
          <a:r>
            <a:rPr lang="es-AR" sz="1100" baseline="0"/>
            <a:t>Por otra parte, en el caso de los escenarios pesimistas, el resultado esperado sin introducir modificacion alguna, sobre todo  si consideramos mantener nuestra estrategia de acumulacion de inventario en ciertos periodos para abastecer demanda futura y evitar estar realizando inversiones en maquinarias o en mayor personal, la realidad es que puede jugar en contra en caso de que se genera una reduccion de la demanda, por lo cual, sera necesario hacer un seguimiento del forecast y realizar analisis de mercados de forma continua para evitar que sucedan estos inconvenientes. Sin embargo, introduciendo las correcciones correspondiente, nos permiten obtener buenos margenes de rentabilidad y una tasa de reintegro de la inversion relativamente superior a la que es ofrecida por parte de la obligacion negociable de Surcos S.A. (es de un 50% mas o 1,5 veces la misma)</a:t>
          </a:r>
        </a:p>
        <a:p>
          <a:endParaRPr lang="es-AR" sz="1100" baseline="0"/>
        </a:p>
        <a:p>
          <a:r>
            <a:rPr lang="es-AR" sz="1100" baseline="0"/>
            <a:t>Por ultimo, y una realidad a tener en cuenta, es que los incremento/decremento de un 20% respecto de una demanda proyectada en 5 años, es un volumen considerable de producto si consideramos todos los años en conjunto, por lo que, si bien en la realidad puede suceder, en terminos de analisis de proyecto, por medio de la realizacion de pequeñas modificaciones en la planificacion, nos permitirian poder seguir desarrollando el proyecto con resultados positivos.</a:t>
          </a:r>
          <a:endParaRPr lang="es-AR"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449580</xdr:colOff>
      <xdr:row>2</xdr:row>
      <xdr:rowOff>139700</xdr:rowOff>
    </xdr:from>
    <xdr:to>
      <xdr:col>12</xdr:col>
      <xdr:colOff>44824</xdr:colOff>
      <xdr:row>21</xdr:row>
      <xdr:rowOff>53788</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477818</xdr:colOff>
      <xdr:row>23</xdr:row>
      <xdr:rowOff>32273</xdr:rowOff>
    </xdr:from>
    <xdr:to>
      <xdr:col>12</xdr:col>
      <xdr:colOff>47403</xdr:colOff>
      <xdr:row>33</xdr:row>
      <xdr:rowOff>80682</xdr:rowOff>
    </xdr:to>
    <xdr:sp macro="" textlink="">
      <xdr:nvSpPr>
        <xdr:cNvPr id="3" name="CuadroTexto 2">
          <a:extLst>
            <a:ext uri="{FF2B5EF4-FFF2-40B4-BE49-F238E27FC236}">
              <a16:creationId xmlns:a16="http://schemas.microsoft.com/office/drawing/2014/main" id="{00000000-0008-0000-0300-000003000000}"/>
            </a:ext>
          </a:extLst>
        </xdr:cNvPr>
        <xdr:cNvSpPr txBox="1"/>
      </xdr:nvSpPr>
      <xdr:spPr>
        <a:xfrm>
          <a:off x="3391347" y="4989755"/>
          <a:ext cx="5880738" cy="18592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b="1"/>
            <a:t>Fuente: </a:t>
          </a:r>
          <a:r>
            <a:rPr lang="es-AR" sz="1100"/>
            <a:t>INDEC.</a:t>
          </a:r>
          <a:r>
            <a:rPr lang="es-AR" sz="1100" baseline="0"/>
            <a:t> insumos para la construccion - Horgimon elaborado.</a:t>
          </a:r>
        </a:p>
        <a:p>
          <a:endParaRPr lang="es-AR" sz="1100" baseline="0"/>
        </a:p>
        <a:p>
          <a:r>
            <a:rPr lang="es-AR" sz="1100" b="1" baseline="0"/>
            <a:t>Tema a tener en cuenta: </a:t>
          </a:r>
          <a:r>
            <a:rPr lang="es-AR" sz="1100" b="0" baseline="0"/>
            <a:t>A</a:t>
          </a:r>
          <a:r>
            <a:rPr lang="es-AR" sz="1100" baseline="0"/>
            <a:t> la hora de proyectar la demanda para los proximos  años, considerar que por datos historicos desde 2017, como valores maximos alcanzados fue de 329 miles de toneladas en un mes en curso. </a:t>
          </a:r>
        </a:p>
        <a:p>
          <a:endParaRPr lang="es-AR" sz="1100" baseline="0"/>
        </a:p>
        <a:p>
          <a:r>
            <a:rPr lang="es-AR" sz="1100" b="1" baseline="0"/>
            <a:t>¿Porque se consideramos el hormigon elaborado para proyectar nuestra demanda?  </a:t>
          </a:r>
          <a:r>
            <a:rPr lang="es-AR" sz="1100" b="0" baseline="0"/>
            <a:t>Porque es el que se utiliza en las obras para llevar a cabo el armado de las losas y con los alivianadroes de losa, lo que se hace es reducir en parte el uso del mismo, por lo que, viendo el comportamiento de este y tomando una parte del consumo del mismo es como se determinara nuestra demanda.</a:t>
          </a:r>
          <a:endParaRPr lang="es-AR" sz="1100" b="0"/>
        </a:p>
      </xdr:txBody>
    </xdr:sp>
    <xdr:clientData/>
  </xdr:twoCellAnchor>
  <xdr:twoCellAnchor>
    <xdr:from>
      <xdr:col>4</xdr:col>
      <xdr:colOff>522641</xdr:colOff>
      <xdr:row>59</xdr:row>
      <xdr:rowOff>11429</xdr:rowOff>
    </xdr:from>
    <xdr:to>
      <xdr:col>12</xdr:col>
      <xdr:colOff>89647</xdr:colOff>
      <xdr:row>79</xdr:row>
      <xdr:rowOff>35858</xdr:rowOff>
    </xdr:to>
    <xdr:graphicFrame macro="">
      <xdr:nvGraphicFramePr>
        <xdr:cNvPr id="4" name="Gráfico 3">
          <a:extLst>
            <a:ext uri="{FF2B5EF4-FFF2-40B4-BE49-F238E27FC236}">
              <a16:creationId xmlns:a16="http://schemas.microsoft.com/office/drawing/2014/main" id="{00000000-0008-0000-0300-000004000000}"/>
            </a:ext>
            <a:ext uri="{147F2762-F138-4A5C-976F-8EAC2B608ADB}">
              <a16:predDERef xmlns:a16="http://schemas.microsoft.com/office/drawing/2014/main" pred="{00000000-0008-0000-0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455408</xdr:colOff>
      <xdr:row>34</xdr:row>
      <xdr:rowOff>175933</xdr:rowOff>
    </xdr:from>
    <xdr:to>
      <xdr:col>12</xdr:col>
      <xdr:colOff>35859</xdr:colOff>
      <xdr:row>52</xdr:row>
      <xdr:rowOff>143436</xdr:rowOff>
    </xdr:to>
    <xdr:graphicFrame macro="">
      <xdr:nvGraphicFramePr>
        <xdr:cNvPr id="5" name="Gráfico 4">
          <a:extLst>
            <a:ext uri="{FF2B5EF4-FFF2-40B4-BE49-F238E27FC236}">
              <a16:creationId xmlns:a16="http://schemas.microsoft.com/office/drawing/2014/main" id="{00000000-0008-0000-0300-000005000000}"/>
            </a:ext>
            <a:ext uri="{147F2762-F138-4A5C-976F-8EAC2B608ADB}">
              <a16:predDERef xmlns:a16="http://schemas.microsoft.com/office/drawing/2014/main" pred="{00000000-0008-0000-0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327660</xdr:colOff>
      <xdr:row>53</xdr:row>
      <xdr:rowOff>121920</xdr:rowOff>
    </xdr:from>
    <xdr:to>
      <xdr:col>8</xdr:col>
      <xdr:colOff>533400</xdr:colOff>
      <xdr:row>57</xdr:row>
      <xdr:rowOff>30480</xdr:rowOff>
    </xdr:to>
    <xdr:sp macro="" textlink="">
      <xdr:nvSpPr>
        <xdr:cNvPr id="6" name="Cerrar llave 5">
          <a:extLst>
            <a:ext uri="{FF2B5EF4-FFF2-40B4-BE49-F238E27FC236}">
              <a16:creationId xmlns:a16="http://schemas.microsoft.com/office/drawing/2014/main" id="{00000000-0008-0000-0300-000006000000}"/>
            </a:ext>
          </a:extLst>
        </xdr:cNvPr>
        <xdr:cNvSpPr/>
      </xdr:nvSpPr>
      <xdr:spPr>
        <a:xfrm>
          <a:off x="6423660" y="9235440"/>
          <a:ext cx="205740" cy="670560"/>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es-AR"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525780</xdr:colOff>
      <xdr:row>3</xdr:row>
      <xdr:rowOff>19050</xdr:rowOff>
    </xdr:from>
    <xdr:to>
      <xdr:col>15</xdr:col>
      <xdr:colOff>342900</xdr:colOff>
      <xdr:row>14</xdr:row>
      <xdr:rowOff>163830</xdr:rowOff>
    </xdr:to>
    <xdr:graphicFrame macro="">
      <xdr:nvGraphicFramePr>
        <xdr:cNvPr id="2" name="Gráfico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533400</xdr:colOff>
      <xdr:row>15</xdr:row>
      <xdr:rowOff>152399</xdr:rowOff>
    </xdr:from>
    <xdr:to>
      <xdr:col>15</xdr:col>
      <xdr:colOff>266700</xdr:colOff>
      <xdr:row>28</xdr:row>
      <xdr:rowOff>119743</xdr:rowOff>
    </xdr:to>
    <xdr:sp macro="" textlink="">
      <xdr:nvSpPr>
        <xdr:cNvPr id="3" name="CuadroTexto 2">
          <a:extLst>
            <a:ext uri="{FF2B5EF4-FFF2-40B4-BE49-F238E27FC236}">
              <a16:creationId xmlns:a16="http://schemas.microsoft.com/office/drawing/2014/main" id="{00000000-0008-0000-0400-000003000000}"/>
            </a:ext>
          </a:extLst>
        </xdr:cNvPr>
        <xdr:cNvSpPr txBox="1"/>
      </xdr:nvSpPr>
      <xdr:spPr>
        <a:xfrm>
          <a:off x="7903029" y="3526970"/>
          <a:ext cx="4348842" cy="23839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s-AR" sz="1100" b="1">
              <a:solidFill>
                <a:schemeClr val="dk1"/>
              </a:solidFill>
              <a:effectLst/>
              <a:latin typeface="+mn-lt"/>
              <a:ea typeface="+mn-ea"/>
              <a:cs typeface="+mn-cs"/>
            </a:rPr>
            <a:t>Fuente: </a:t>
          </a:r>
          <a:r>
            <a:rPr lang="es-AR" sz="1100">
              <a:solidFill>
                <a:schemeClr val="dk1"/>
              </a:solidFill>
              <a:effectLst/>
              <a:latin typeface="+mn-lt"/>
              <a:ea typeface="+mn-ea"/>
              <a:cs typeface="+mn-cs"/>
            </a:rPr>
            <a:t>INDEC.</a:t>
          </a:r>
          <a:r>
            <a:rPr lang="es-AR" sz="1100" baseline="0">
              <a:solidFill>
                <a:schemeClr val="dk1"/>
              </a:solidFill>
              <a:effectLst/>
              <a:latin typeface="+mn-lt"/>
              <a:ea typeface="+mn-ea"/>
              <a:cs typeface="+mn-cs"/>
            </a:rPr>
            <a:t> insumos para la construccion - Horgimon elaborado.</a:t>
          </a:r>
          <a:endParaRPr lang="es-AR">
            <a:effectLst/>
          </a:endParaRPr>
        </a:p>
        <a:p>
          <a:endParaRPr lang="es-AR" sz="1100"/>
        </a:p>
        <a:p>
          <a:r>
            <a:rPr lang="es-AR" sz="1100" b="1" baseline="0">
              <a:solidFill>
                <a:schemeClr val="dk1"/>
              </a:solidFill>
              <a:effectLst/>
              <a:latin typeface="+mn-lt"/>
              <a:ea typeface="+mn-ea"/>
              <a:cs typeface="+mn-cs"/>
            </a:rPr>
            <a:t>Tema a tener en cuenta: </a:t>
          </a:r>
          <a:r>
            <a:rPr lang="es-AR" sz="1100"/>
            <a:t>Para no efectuar medidas erróneas de nuestra demanda, se decidió</a:t>
          </a:r>
          <a:r>
            <a:rPr lang="es-AR" sz="1100" baseline="0"/>
            <a:t> por tomar los ultimos tres años de consumo de hormigon elaborado, para evitar que los datos del 2020 producto del desarrollo de la pandemia impacten en los resultados obtenidos.</a:t>
          </a:r>
        </a:p>
        <a:p>
          <a:endParaRPr lang="es-AR" sz="1100" baseline="0"/>
        </a:p>
        <a:p>
          <a:r>
            <a:rPr lang="es-AR" sz="1100" baseline="0"/>
            <a:t>Se determina la demanda de hormigon elaborado para los proximos 5 años y se va analizar y considerar el mismo hasta que adquiera una demanda similar a la epoca pre-pandémica, ya que, la pendiente que posee la tendencia de estos tres últimos años, se debe en base por la recuperación de la actividad, pero anterior a la pandemia, se registraba una tendencia decreciente (si bien esta última era mínima)</a:t>
          </a:r>
          <a:endParaRPr lang="es-AR" sz="1100"/>
        </a:p>
      </xdr:txBody>
    </xdr:sp>
    <xdr:clientData/>
  </xdr:twoCellAnchor>
  <xdr:twoCellAnchor>
    <xdr:from>
      <xdr:col>9</xdr:col>
      <xdr:colOff>313765</xdr:colOff>
      <xdr:row>53</xdr:row>
      <xdr:rowOff>62752</xdr:rowOff>
    </xdr:from>
    <xdr:to>
      <xdr:col>10</xdr:col>
      <xdr:colOff>475130</xdr:colOff>
      <xdr:row>53</xdr:row>
      <xdr:rowOff>71717</xdr:rowOff>
    </xdr:to>
    <xdr:cxnSp macro="">
      <xdr:nvCxnSpPr>
        <xdr:cNvPr id="6" name="Conector recto de flecha 5">
          <a:extLst>
            <a:ext uri="{FF2B5EF4-FFF2-40B4-BE49-F238E27FC236}">
              <a16:creationId xmlns:a16="http://schemas.microsoft.com/office/drawing/2014/main" id="{00000000-0008-0000-0400-000006000000}"/>
            </a:ext>
          </a:extLst>
        </xdr:cNvPr>
        <xdr:cNvCxnSpPr/>
      </xdr:nvCxnSpPr>
      <xdr:spPr>
        <a:xfrm flipV="1">
          <a:off x="7655859" y="7727576"/>
          <a:ext cx="950259" cy="896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367553</xdr:colOff>
      <xdr:row>66</xdr:row>
      <xdr:rowOff>98610</xdr:rowOff>
    </xdr:from>
    <xdr:to>
      <xdr:col>10</xdr:col>
      <xdr:colOff>528918</xdr:colOff>
      <xdr:row>66</xdr:row>
      <xdr:rowOff>107575</xdr:rowOff>
    </xdr:to>
    <xdr:cxnSp macro="">
      <xdr:nvCxnSpPr>
        <xdr:cNvPr id="8" name="Conector recto de flecha 7">
          <a:extLst>
            <a:ext uri="{FF2B5EF4-FFF2-40B4-BE49-F238E27FC236}">
              <a16:creationId xmlns:a16="http://schemas.microsoft.com/office/drawing/2014/main" id="{00000000-0008-0000-0400-000008000000}"/>
            </a:ext>
          </a:extLst>
        </xdr:cNvPr>
        <xdr:cNvCxnSpPr/>
      </xdr:nvCxnSpPr>
      <xdr:spPr>
        <a:xfrm flipV="1">
          <a:off x="7709647" y="10103222"/>
          <a:ext cx="950259" cy="896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367553</xdr:colOff>
      <xdr:row>77</xdr:row>
      <xdr:rowOff>98610</xdr:rowOff>
    </xdr:from>
    <xdr:to>
      <xdr:col>10</xdr:col>
      <xdr:colOff>528918</xdr:colOff>
      <xdr:row>77</xdr:row>
      <xdr:rowOff>107575</xdr:rowOff>
    </xdr:to>
    <xdr:cxnSp macro="">
      <xdr:nvCxnSpPr>
        <xdr:cNvPr id="9" name="Conector recto de flecha 8">
          <a:extLst>
            <a:ext uri="{FF2B5EF4-FFF2-40B4-BE49-F238E27FC236}">
              <a16:creationId xmlns:a16="http://schemas.microsoft.com/office/drawing/2014/main" id="{00000000-0008-0000-0400-000009000000}"/>
            </a:ext>
          </a:extLst>
        </xdr:cNvPr>
        <xdr:cNvCxnSpPr/>
      </xdr:nvCxnSpPr>
      <xdr:spPr>
        <a:xfrm flipV="1">
          <a:off x="7709647" y="10103222"/>
          <a:ext cx="950259" cy="896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367553</xdr:colOff>
      <xdr:row>89</xdr:row>
      <xdr:rowOff>98610</xdr:rowOff>
    </xdr:from>
    <xdr:to>
      <xdr:col>10</xdr:col>
      <xdr:colOff>528918</xdr:colOff>
      <xdr:row>89</xdr:row>
      <xdr:rowOff>107575</xdr:rowOff>
    </xdr:to>
    <xdr:cxnSp macro="">
      <xdr:nvCxnSpPr>
        <xdr:cNvPr id="10" name="Conector recto de flecha 9">
          <a:extLst>
            <a:ext uri="{FF2B5EF4-FFF2-40B4-BE49-F238E27FC236}">
              <a16:creationId xmlns:a16="http://schemas.microsoft.com/office/drawing/2014/main" id="{00000000-0008-0000-0400-00000A000000}"/>
            </a:ext>
          </a:extLst>
        </xdr:cNvPr>
        <xdr:cNvCxnSpPr/>
      </xdr:nvCxnSpPr>
      <xdr:spPr>
        <a:xfrm flipV="1">
          <a:off x="7709647" y="12084422"/>
          <a:ext cx="950259" cy="896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367553</xdr:colOff>
      <xdr:row>101</xdr:row>
      <xdr:rowOff>98610</xdr:rowOff>
    </xdr:from>
    <xdr:to>
      <xdr:col>10</xdr:col>
      <xdr:colOff>528918</xdr:colOff>
      <xdr:row>101</xdr:row>
      <xdr:rowOff>107575</xdr:rowOff>
    </xdr:to>
    <xdr:cxnSp macro="">
      <xdr:nvCxnSpPr>
        <xdr:cNvPr id="11" name="Conector recto de flecha 10">
          <a:extLst>
            <a:ext uri="{FF2B5EF4-FFF2-40B4-BE49-F238E27FC236}">
              <a16:creationId xmlns:a16="http://schemas.microsoft.com/office/drawing/2014/main" id="{00000000-0008-0000-0400-00000B000000}"/>
            </a:ext>
          </a:extLst>
        </xdr:cNvPr>
        <xdr:cNvCxnSpPr/>
      </xdr:nvCxnSpPr>
      <xdr:spPr>
        <a:xfrm flipV="1">
          <a:off x="7709647" y="12084422"/>
          <a:ext cx="950259" cy="896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815788</xdr:colOff>
      <xdr:row>115</xdr:row>
      <xdr:rowOff>125506</xdr:rowOff>
    </xdr:from>
    <xdr:to>
      <xdr:col>13</xdr:col>
      <xdr:colOff>430305</xdr:colOff>
      <xdr:row>135</xdr:row>
      <xdr:rowOff>143434</xdr:rowOff>
    </xdr:to>
    <xdr:graphicFrame macro="">
      <xdr:nvGraphicFramePr>
        <xdr:cNvPr id="12" name="Gráfico 11">
          <a:extLst>
            <a:ext uri="{FF2B5EF4-FFF2-40B4-BE49-F238E27FC236}">
              <a16:creationId xmlns:a16="http://schemas.microsoft.com/office/drawing/2014/main" id="{00000000-0008-0000-0400-00000C000000}"/>
            </a:ext>
            <a:ext uri="{147F2762-F138-4A5C-976F-8EAC2B608ADB}">
              <a16:predDERef xmlns:a16="http://schemas.microsoft.com/office/drawing/2014/main" pred="{00000000-0008-0000-04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170331</xdr:colOff>
      <xdr:row>109</xdr:row>
      <xdr:rowOff>8964</xdr:rowOff>
    </xdr:from>
    <xdr:to>
      <xdr:col>3</xdr:col>
      <xdr:colOff>349625</xdr:colOff>
      <xdr:row>111</xdr:row>
      <xdr:rowOff>44823</xdr:rowOff>
    </xdr:to>
    <xdr:sp macro="" textlink="">
      <xdr:nvSpPr>
        <xdr:cNvPr id="13" name="Cerrar llave 12">
          <a:extLst>
            <a:ext uri="{FF2B5EF4-FFF2-40B4-BE49-F238E27FC236}">
              <a16:creationId xmlns:a16="http://schemas.microsoft.com/office/drawing/2014/main" id="{00000000-0008-0000-0400-00000D000000}"/>
            </a:ext>
          </a:extLst>
        </xdr:cNvPr>
        <xdr:cNvSpPr/>
      </xdr:nvSpPr>
      <xdr:spPr>
        <a:xfrm>
          <a:off x="2115672" y="18583835"/>
          <a:ext cx="179294" cy="403412"/>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es-AR" sz="1100"/>
        </a:p>
      </xdr:txBody>
    </xdr:sp>
    <xdr:clientData/>
  </xdr:twoCellAnchor>
  <xdr:twoCellAnchor>
    <xdr:from>
      <xdr:col>3</xdr:col>
      <xdr:colOff>439271</xdr:colOff>
      <xdr:row>109</xdr:row>
      <xdr:rowOff>71717</xdr:rowOff>
    </xdr:from>
    <xdr:to>
      <xdr:col>7</xdr:col>
      <xdr:colOff>340659</xdr:colOff>
      <xdr:row>110</xdr:row>
      <xdr:rowOff>170329</xdr:rowOff>
    </xdr:to>
    <xdr:sp macro="" textlink="">
      <xdr:nvSpPr>
        <xdr:cNvPr id="14" name="CuadroTexto 13">
          <a:extLst>
            <a:ext uri="{FF2B5EF4-FFF2-40B4-BE49-F238E27FC236}">
              <a16:creationId xmlns:a16="http://schemas.microsoft.com/office/drawing/2014/main" id="{00000000-0008-0000-0400-00000E000000}"/>
            </a:ext>
          </a:extLst>
        </xdr:cNvPr>
        <xdr:cNvSpPr txBox="1"/>
      </xdr:nvSpPr>
      <xdr:spPr>
        <a:xfrm>
          <a:off x="2384612" y="18646588"/>
          <a:ext cx="3352800" cy="2779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a:t>Tendencia datos pre -pandemicos</a:t>
          </a:r>
          <a:r>
            <a:rPr lang="es-AR" sz="1100" baseline="0"/>
            <a:t> periodo 2017-2019</a:t>
          </a:r>
          <a:endParaRPr lang="es-AR" sz="1100"/>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17</xdr:col>
      <xdr:colOff>717789</xdr:colOff>
      <xdr:row>13</xdr:row>
      <xdr:rowOff>93168</xdr:rowOff>
    </xdr:from>
    <xdr:to>
      <xdr:col>19</xdr:col>
      <xdr:colOff>455197</xdr:colOff>
      <xdr:row>26</xdr:row>
      <xdr:rowOff>149300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46801" y="2657074"/>
          <a:ext cx="3448796" cy="2395920"/>
        </a:xfrm>
        <a:prstGeom prst="rect">
          <a:avLst/>
        </a:prstGeom>
      </xdr:spPr>
    </xdr:pic>
    <xdr:clientData/>
  </xdr:twoCellAnchor>
  <xdr:twoCellAnchor editAs="oneCell">
    <xdr:from>
      <xdr:col>17</xdr:col>
      <xdr:colOff>726076</xdr:colOff>
      <xdr:row>27</xdr:row>
      <xdr:rowOff>103735</xdr:rowOff>
    </xdr:from>
    <xdr:to>
      <xdr:col>19</xdr:col>
      <xdr:colOff>575410</xdr:colOff>
      <xdr:row>39</xdr:row>
      <xdr:rowOff>129099</xdr:rowOff>
    </xdr:to>
    <xdr:pic>
      <xdr:nvPicPr>
        <xdr:cNvPr id="4" name="Imagen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2"/>
        <a:stretch>
          <a:fillRect/>
        </a:stretch>
      </xdr:blipFill>
      <xdr:spPr>
        <a:xfrm>
          <a:off x="15455088" y="5186723"/>
          <a:ext cx="3560722" cy="2185857"/>
        </a:xfrm>
        <a:prstGeom prst="rect">
          <a:avLst/>
        </a:prstGeom>
      </xdr:spPr>
    </xdr:pic>
    <xdr:clientData/>
  </xdr:twoCellAnchor>
  <xdr:twoCellAnchor>
    <xdr:from>
      <xdr:col>18</xdr:col>
      <xdr:colOff>64391</xdr:colOff>
      <xdr:row>40</xdr:row>
      <xdr:rowOff>86276</xdr:rowOff>
    </xdr:from>
    <xdr:to>
      <xdr:col>24</xdr:col>
      <xdr:colOff>240798</xdr:colOff>
      <xdr:row>53</xdr:row>
      <xdr:rowOff>44142</xdr:rowOff>
    </xdr:to>
    <xdr:sp macro="" textlink="">
      <xdr:nvSpPr>
        <xdr:cNvPr id="5" name="CuadroTexto 4">
          <a:extLst>
            <a:ext uri="{FF2B5EF4-FFF2-40B4-BE49-F238E27FC236}">
              <a16:creationId xmlns:a16="http://schemas.microsoft.com/office/drawing/2014/main" id="{00000000-0008-0000-0500-000005000000}"/>
            </a:ext>
          </a:extLst>
        </xdr:cNvPr>
        <xdr:cNvSpPr txBox="1"/>
      </xdr:nvSpPr>
      <xdr:spPr>
        <a:xfrm>
          <a:off x="18757505" y="8227137"/>
          <a:ext cx="8635571" cy="23499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a:t>Para poder determinar la demanda</a:t>
          </a:r>
          <a:r>
            <a:rPr lang="es-AR" sz="1100" baseline="0"/>
            <a:t> de nuestro producto proyectado al primer año de actividad (el nuestro seria el 2024), tomando como referencia la proyeccion en la estimacion de la demanda del hormigon elaborado, consideramos que del total del mismo un 30% se destina a la produccion del losas, por lo que, teniendo en cuenta ello y estableciendo una relacion respecto de los alivianadores teniendo en cuanta que se requieren 10 unidades por metro cuadrado, que se requieren de 0,28 m3 de hormigon por metro cuadrado de superficie, y que en base a una estadistica de PRENOVA, con datos de 14 plantas tipo, se logra reducir un 30% en el consumo de hormigon con la utilizacion de los aliviandores, se determino en la columna I cuantas unidades </a:t>
          </a:r>
        </a:p>
        <a:p>
          <a:endParaRPr lang="es-AR" sz="1100" baseline="0"/>
        </a:p>
        <a:p>
          <a:pPr marL="0" marR="0" lvl="0" indent="0" defTabSz="914400" eaLnBrk="1" fontAlgn="auto" latinLnBrk="0" hangingPunct="1">
            <a:lnSpc>
              <a:spcPct val="100000"/>
            </a:lnSpc>
            <a:spcBef>
              <a:spcPts val="0"/>
            </a:spcBef>
            <a:spcAft>
              <a:spcPts val="0"/>
            </a:spcAft>
            <a:buClrTx/>
            <a:buSzTx/>
            <a:buFontTx/>
            <a:buNone/>
            <a:tabLst/>
            <a:defRPr/>
          </a:pPr>
          <a:r>
            <a:rPr lang="es-AR" sz="1100">
              <a:solidFill>
                <a:schemeClr val="dk1"/>
              </a:solidFill>
              <a:effectLst/>
              <a:latin typeface="+mn-lt"/>
              <a:ea typeface="+mn-ea"/>
              <a:cs typeface="+mn-cs"/>
            </a:rPr>
            <a:t>Otra de las cuestiones</a:t>
          </a:r>
          <a:r>
            <a:rPr lang="es-AR" sz="1100" baseline="0">
              <a:solidFill>
                <a:schemeClr val="dk1"/>
              </a:solidFill>
              <a:effectLst/>
              <a:latin typeface="+mn-lt"/>
              <a:ea typeface="+mn-ea"/>
              <a:cs typeface="+mn-cs"/>
            </a:rPr>
            <a:t> a considerar, es que en los primeros meses de ejecucion del proyecto no se logre poder alcanzar el objetivo de la cantidad de mercado que queremos tomar, es por ello, que se incrementara este porcentaje de mercado que vamos a ir tomando de manera paulatina en el transcurso del primer año. Para los siguientes 4 años, buscaremos incrementar un 1,5%</a:t>
          </a:r>
          <a:endParaRPr lang="es-AR">
            <a:effectLst/>
          </a:endParaRPr>
        </a:p>
        <a:p>
          <a:endParaRPr lang="es-AR" sz="1100"/>
        </a:p>
      </xdr:txBody>
    </xdr:sp>
    <xdr:clientData/>
  </xdr:twoCellAnchor>
  <xdr:twoCellAnchor>
    <xdr:from>
      <xdr:col>23</xdr:col>
      <xdr:colOff>331694</xdr:colOff>
      <xdr:row>13</xdr:row>
      <xdr:rowOff>134472</xdr:rowOff>
    </xdr:from>
    <xdr:to>
      <xdr:col>28</xdr:col>
      <xdr:colOff>268941</xdr:colOff>
      <xdr:row>31</xdr:row>
      <xdr:rowOff>44823</xdr:rowOff>
    </xdr:to>
    <xdr:graphicFrame macro="">
      <xdr:nvGraphicFramePr>
        <xdr:cNvPr id="3" name="Gráfico 2">
          <a:extLst>
            <a:ext uri="{FF2B5EF4-FFF2-40B4-BE49-F238E27FC236}">
              <a16:creationId xmlns:a16="http://schemas.microsoft.com/office/drawing/2014/main" id="{00000000-0008-0000-0500-000003000000}"/>
            </a:ext>
            <a:ext uri="{147F2762-F138-4A5C-976F-8EAC2B608ADB}">
              <a16:predDERef xmlns:a16="http://schemas.microsoft.com/office/drawing/2014/main" pre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21</xdr:col>
      <xdr:colOff>114300</xdr:colOff>
      <xdr:row>56</xdr:row>
      <xdr:rowOff>99060</xdr:rowOff>
    </xdr:from>
    <xdr:to>
      <xdr:col>21</xdr:col>
      <xdr:colOff>617220</xdr:colOff>
      <xdr:row>56</xdr:row>
      <xdr:rowOff>99060</xdr:rowOff>
    </xdr:to>
    <xdr:cxnSp macro="">
      <xdr:nvCxnSpPr>
        <xdr:cNvPr id="6" name="Conector recto de flecha 5">
          <a:extLst>
            <a:ext uri="{FF2B5EF4-FFF2-40B4-BE49-F238E27FC236}">
              <a16:creationId xmlns:a16="http://schemas.microsoft.com/office/drawing/2014/main" id="{00000000-0008-0000-0500-000006000000}"/>
            </a:ext>
          </a:extLst>
        </xdr:cNvPr>
        <xdr:cNvCxnSpPr/>
      </xdr:nvCxnSpPr>
      <xdr:spPr>
        <a:xfrm>
          <a:off x="10995660" y="472440"/>
          <a:ext cx="50292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114300</xdr:colOff>
      <xdr:row>57</xdr:row>
      <xdr:rowOff>106680</xdr:rowOff>
    </xdr:from>
    <xdr:to>
      <xdr:col>21</xdr:col>
      <xdr:colOff>617220</xdr:colOff>
      <xdr:row>57</xdr:row>
      <xdr:rowOff>106680</xdr:rowOff>
    </xdr:to>
    <xdr:cxnSp macro="">
      <xdr:nvCxnSpPr>
        <xdr:cNvPr id="7" name="Conector recto de flecha 6">
          <a:extLst>
            <a:ext uri="{FF2B5EF4-FFF2-40B4-BE49-F238E27FC236}">
              <a16:creationId xmlns:a16="http://schemas.microsoft.com/office/drawing/2014/main" id="{00000000-0008-0000-0500-000007000000}"/>
            </a:ext>
          </a:extLst>
        </xdr:cNvPr>
        <xdr:cNvCxnSpPr/>
      </xdr:nvCxnSpPr>
      <xdr:spPr>
        <a:xfrm>
          <a:off x="10995660" y="662940"/>
          <a:ext cx="50292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183776</xdr:colOff>
      <xdr:row>65</xdr:row>
      <xdr:rowOff>179293</xdr:rowOff>
    </xdr:from>
    <xdr:to>
      <xdr:col>6</xdr:col>
      <xdr:colOff>860612</xdr:colOff>
      <xdr:row>84</xdr:row>
      <xdr:rowOff>161364</xdr:rowOff>
    </xdr:to>
    <xdr:graphicFrame macro="">
      <xdr:nvGraphicFramePr>
        <xdr:cNvPr id="8" name="Gráfico 7">
          <a:extLst>
            <a:ext uri="{FF2B5EF4-FFF2-40B4-BE49-F238E27FC236}">
              <a16:creationId xmlns:a16="http://schemas.microsoft.com/office/drawing/2014/main" id="{00000000-0008-0000-0500-000008000000}"/>
            </a:ext>
            <a:ext uri="{147F2762-F138-4A5C-976F-8EAC2B608ADB}">
              <a16:predDERef xmlns:a16="http://schemas.microsoft.com/office/drawing/2014/main" pred="{00000000-0008-0000-05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31375</xdr:colOff>
      <xdr:row>65</xdr:row>
      <xdr:rowOff>170330</xdr:rowOff>
    </xdr:from>
    <xdr:to>
      <xdr:col>12</xdr:col>
      <xdr:colOff>367552</xdr:colOff>
      <xdr:row>84</xdr:row>
      <xdr:rowOff>170329</xdr:rowOff>
    </xdr:to>
    <xdr:graphicFrame macro="">
      <xdr:nvGraphicFramePr>
        <xdr:cNvPr id="9" name="Gráfico 8">
          <a:extLst>
            <a:ext uri="{FF2B5EF4-FFF2-40B4-BE49-F238E27FC236}">
              <a16:creationId xmlns:a16="http://schemas.microsoft.com/office/drawing/2014/main" id="{00000000-0008-0000-0500-000009000000}"/>
            </a:ext>
            <a:ext uri="{147F2762-F138-4A5C-976F-8EAC2B608ADB}">
              <a16:predDERef xmlns:a16="http://schemas.microsoft.com/office/drawing/2014/main" pred="{00000000-0008-0000-05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192740</xdr:colOff>
      <xdr:row>86</xdr:row>
      <xdr:rowOff>134468</xdr:rowOff>
    </xdr:from>
    <xdr:to>
      <xdr:col>6</xdr:col>
      <xdr:colOff>941293</xdr:colOff>
      <xdr:row>106</xdr:row>
      <xdr:rowOff>53788</xdr:rowOff>
    </xdr:to>
    <xdr:graphicFrame macro="">
      <xdr:nvGraphicFramePr>
        <xdr:cNvPr id="11" name="Gráfico 10">
          <a:extLst>
            <a:ext uri="{FF2B5EF4-FFF2-40B4-BE49-F238E27FC236}">
              <a16:creationId xmlns:a16="http://schemas.microsoft.com/office/drawing/2014/main" id="{00000000-0008-0000-0500-00000B000000}"/>
            </a:ext>
            <a:ext uri="{147F2762-F138-4A5C-976F-8EAC2B608ADB}">
              <a16:predDERef xmlns:a16="http://schemas.microsoft.com/office/drawing/2014/main" pred="{00000000-0008-0000-05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112058</xdr:colOff>
      <xdr:row>86</xdr:row>
      <xdr:rowOff>125506</xdr:rowOff>
    </xdr:from>
    <xdr:to>
      <xdr:col>12</xdr:col>
      <xdr:colOff>304800</xdr:colOff>
      <xdr:row>106</xdr:row>
      <xdr:rowOff>116541</xdr:rowOff>
    </xdr:to>
    <xdr:graphicFrame macro="">
      <xdr:nvGraphicFramePr>
        <xdr:cNvPr id="12" name="Gráfico 11">
          <a:extLst>
            <a:ext uri="{FF2B5EF4-FFF2-40B4-BE49-F238E27FC236}">
              <a16:creationId xmlns:a16="http://schemas.microsoft.com/office/drawing/2014/main" id="{00000000-0008-0000-0500-00000C000000}"/>
            </a:ext>
            <a:ext uri="{147F2762-F138-4A5C-976F-8EAC2B608ADB}">
              <a16:predDERef xmlns:a16="http://schemas.microsoft.com/office/drawing/2014/main" pred="{00000000-0008-0000-05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5</xdr:col>
      <xdr:colOff>313765</xdr:colOff>
      <xdr:row>2</xdr:row>
      <xdr:rowOff>71717</xdr:rowOff>
    </xdr:from>
    <xdr:to>
      <xdr:col>17</xdr:col>
      <xdr:colOff>134471</xdr:colOff>
      <xdr:row>13</xdr:row>
      <xdr:rowOff>89646</xdr:rowOff>
    </xdr:to>
    <xdr:sp macro="" textlink="">
      <xdr:nvSpPr>
        <xdr:cNvPr id="2" name="CuadroTexto 1">
          <a:extLst>
            <a:ext uri="{FF2B5EF4-FFF2-40B4-BE49-F238E27FC236}">
              <a16:creationId xmlns:a16="http://schemas.microsoft.com/office/drawing/2014/main" id="{00000000-0008-0000-0600-000002000000}"/>
            </a:ext>
          </a:extLst>
        </xdr:cNvPr>
        <xdr:cNvSpPr txBox="1"/>
      </xdr:nvSpPr>
      <xdr:spPr>
        <a:xfrm>
          <a:off x="6212541" y="430305"/>
          <a:ext cx="9529483" cy="20260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a:t>Para poder definir</a:t>
          </a:r>
          <a:r>
            <a:rPr lang="es-AR" sz="1100" baseline="0"/>
            <a:t> una politica de precios, en primer instancia, decidimos analizar el ahorro por parte del cliente con la utilizacion de los alivianadores, respecto de la construccion convencional, unicamente considerando los materiales en cuestion (Hormigon/acero), sin tener en cuenta los ahorros en lo que respecta temas logisticos.</a:t>
          </a:r>
          <a:endParaRPr lang="es-AR" sz="1100"/>
        </a:p>
        <a:p>
          <a:r>
            <a:rPr lang="es-AR" sz="1100"/>
            <a:t>El precio</a:t>
          </a:r>
          <a:r>
            <a:rPr lang="es-AR" sz="1100" baseline="0"/>
            <a:t> del hormigon, se decidio tomar el del hormigon H21, ya que, segun el INTI, el mismo es el hiormigon adecuado para la realizacion de contrucciones en altura en general. En este punto, es importante remarcar, que se comercializan diferentes tipos de hormigones, cada uno con resistencias diferentes. En el siguiente link se enceuntra toda la informacion:</a:t>
          </a:r>
        </a:p>
        <a:p>
          <a:endParaRPr lang="es-AR" sz="1100" baseline="0"/>
        </a:p>
        <a:p>
          <a:r>
            <a:rPr lang="es-AR" sz="1100"/>
            <a:t>https://www.hormixa.com.ar/hormigonera/hormigon-elaborado/tipos-de-hormigon/</a:t>
          </a:r>
        </a:p>
        <a:p>
          <a:endParaRPr lang="es-AR" sz="1100"/>
        </a:p>
        <a:p>
          <a:r>
            <a:rPr lang="es-AR" sz="1100"/>
            <a:t>Para el caso del acero, se considera un promedio de precios,</a:t>
          </a:r>
          <a:r>
            <a:rPr lang="es-AR" sz="1100" baseline="0"/>
            <a:t> sobre todo porque los aceros para construccion de losa, suelen ser diferentes dependiendo el caso (varillas de diferentes diamteros, mallas, estructuras de acero, alambres)</a:t>
          </a:r>
          <a:endParaRPr lang="es-AR" sz="1100"/>
        </a:p>
      </xdr:txBody>
    </xdr:sp>
    <xdr:clientData/>
  </xdr:twoCellAnchor>
  <xdr:twoCellAnchor>
    <xdr:from>
      <xdr:col>10</xdr:col>
      <xdr:colOff>591670</xdr:colOff>
      <xdr:row>34</xdr:row>
      <xdr:rowOff>17929</xdr:rowOff>
    </xdr:from>
    <xdr:to>
      <xdr:col>11</xdr:col>
      <xdr:colOff>71716</xdr:colOff>
      <xdr:row>40</xdr:row>
      <xdr:rowOff>17929</xdr:rowOff>
    </xdr:to>
    <xdr:sp macro="" textlink="">
      <xdr:nvSpPr>
        <xdr:cNvPr id="3" name="Cerrar llave 2">
          <a:extLst>
            <a:ext uri="{FF2B5EF4-FFF2-40B4-BE49-F238E27FC236}">
              <a16:creationId xmlns:a16="http://schemas.microsoft.com/office/drawing/2014/main" id="{018CD768-D68F-20B6-CE0A-8534017B6DA3}"/>
            </a:ext>
          </a:extLst>
        </xdr:cNvPr>
        <xdr:cNvSpPr/>
      </xdr:nvSpPr>
      <xdr:spPr>
        <a:xfrm>
          <a:off x="10820399" y="6248400"/>
          <a:ext cx="268941" cy="1093694"/>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es-AR" sz="1100"/>
        </a:p>
      </xdr:txBody>
    </xdr:sp>
    <xdr:clientData/>
  </xdr:twoCellAnchor>
  <xdr:twoCellAnchor>
    <xdr:from>
      <xdr:col>11</xdr:col>
      <xdr:colOff>188258</xdr:colOff>
      <xdr:row>34</xdr:row>
      <xdr:rowOff>26893</xdr:rowOff>
    </xdr:from>
    <xdr:to>
      <xdr:col>16</xdr:col>
      <xdr:colOff>242048</xdr:colOff>
      <xdr:row>40</xdr:row>
      <xdr:rowOff>44823</xdr:rowOff>
    </xdr:to>
    <xdr:sp macro="" textlink="">
      <xdr:nvSpPr>
        <xdr:cNvPr id="4" name="CuadroTexto 3">
          <a:extLst>
            <a:ext uri="{FF2B5EF4-FFF2-40B4-BE49-F238E27FC236}">
              <a16:creationId xmlns:a16="http://schemas.microsoft.com/office/drawing/2014/main" id="{90D7FF13-6E31-A070-EF27-9D50126A0D3A}"/>
            </a:ext>
          </a:extLst>
        </xdr:cNvPr>
        <xdr:cNvSpPr txBox="1"/>
      </xdr:nvSpPr>
      <xdr:spPr>
        <a:xfrm>
          <a:off x="11205882" y="6257364"/>
          <a:ext cx="3998260" cy="11116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a:t>Nuestro incremento del 5% anual en el valor del precio de nuestro producto</a:t>
          </a:r>
          <a:r>
            <a:rPr lang="es-AR" sz="1100" baseline="0"/>
            <a:t> como politica y la consideracion de ofrecerlo a un 10% menos respecto que nuestra competencia, hara que alcancemos el valor del mismo hacia fines 2025/comienzos de 2026.</a:t>
          </a:r>
          <a:endParaRPr lang="es-AR" sz="1100"/>
        </a:p>
      </xdr:txBody>
    </xdr:sp>
    <xdr:clientData/>
  </xdr:twoCellAnchor>
  <xdr:twoCellAnchor>
    <xdr:from>
      <xdr:col>1</xdr:col>
      <xdr:colOff>0</xdr:colOff>
      <xdr:row>58</xdr:row>
      <xdr:rowOff>0</xdr:rowOff>
    </xdr:from>
    <xdr:to>
      <xdr:col>5</xdr:col>
      <xdr:colOff>681318</xdr:colOff>
      <xdr:row>71</xdr:row>
      <xdr:rowOff>89647</xdr:rowOff>
    </xdr:to>
    <xdr:sp macro="" textlink="">
      <xdr:nvSpPr>
        <xdr:cNvPr id="5" name="CuadroTexto 4">
          <a:extLst>
            <a:ext uri="{FF2B5EF4-FFF2-40B4-BE49-F238E27FC236}">
              <a16:creationId xmlns:a16="http://schemas.microsoft.com/office/drawing/2014/main" id="{FBB32205-710A-4C69-A835-4D8065A34E39}"/>
            </a:ext>
          </a:extLst>
        </xdr:cNvPr>
        <xdr:cNvSpPr txBox="1"/>
      </xdr:nvSpPr>
      <xdr:spPr>
        <a:xfrm>
          <a:off x="412376" y="8785412"/>
          <a:ext cx="6167718" cy="24204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a:t>Temas</a:t>
          </a:r>
          <a:r>
            <a:rPr lang="es-AR" sz="1100" baseline="0"/>
            <a:t> a considerar de analisis:</a:t>
          </a:r>
        </a:p>
        <a:p>
          <a:endParaRPr lang="es-AR" sz="1100" baseline="0"/>
        </a:p>
        <a:p>
          <a:r>
            <a:rPr lang="es-AR" sz="1100" baseline="0"/>
            <a:t>- Se puede observar que el precio de venta de la competencia, es practicamente similar, al ahorro en costos de materiales, que el cliente ahorra a la hora de la utilizacion de los alivianadores. Sin embargo, la eleccion de la utilizacion de estos ultimos (alivianandores), respecto de la construccion tradiciconal, trae aparejado varias ventajas detalladas en el proyecto, relacionadas con el hecho de realizar estructuras mas livianas, que incide </a:t>
          </a:r>
        </a:p>
        <a:p>
          <a:endParaRPr lang="es-AR" sz="1100" baseline="0"/>
        </a:p>
        <a:p>
          <a:r>
            <a:rPr lang="es-AR" sz="1100" baseline="0"/>
            <a:t>- Con el incremento de nuestro precio en un 5% anual, estariamos alcanzando valores similares a los de nuestra competencia hacia finales del tercer año de ejecucion. Obviamente que durante dicho lapso de tiempo, la diferenciacion respecto de la competencia remarcada hacia nuestros clientes sera fundamental, para permitir que nos sigan eligiendo, incluso con precios iguales.</a:t>
          </a:r>
          <a:endParaRPr lang="es-AR"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352425</xdr:colOff>
      <xdr:row>27</xdr:row>
      <xdr:rowOff>38100</xdr:rowOff>
    </xdr:from>
    <xdr:to>
      <xdr:col>10</xdr:col>
      <xdr:colOff>552450</xdr:colOff>
      <xdr:row>34</xdr:row>
      <xdr:rowOff>142875</xdr:rowOff>
    </xdr:to>
    <xdr:sp macro="" textlink="">
      <xdr:nvSpPr>
        <xdr:cNvPr id="2" name="CuadroTexto 1">
          <a:extLst>
            <a:ext uri="{FF2B5EF4-FFF2-40B4-BE49-F238E27FC236}">
              <a16:creationId xmlns:a16="http://schemas.microsoft.com/office/drawing/2014/main" id="{BEF1C7FA-3126-4C27-35A0-EB97BFD6D526}"/>
            </a:ext>
          </a:extLst>
        </xdr:cNvPr>
        <xdr:cNvSpPr txBox="1"/>
      </xdr:nvSpPr>
      <xdr:spPr>
        <a:xfrm>
          <a:off x="6677025" y="5314950"/>
          <a:ext cx="4629150" cy="1438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a:t>Los</a:t>
          </a:r>
          <a:r>
            <a:rPr lang="es-AR" sz="1100" baseline="0"/>
            <a:t> costos de instalacion de la iluminaria se determina en base a AAIERIC:</a:t>
          </a:r>
        </a:p>
        <a:p>
          <a:endParaRPr lang="es-AR" sz="1100" baseline="0"/>
        </a:p>
        <a:p>
          <a:r>
            <a:rPr lang="es-AR" sz="1100" b="0" i="0" u="none" strike="noStrike">
              <a:solidFill>
                <a:schemeClr val="dk1"/>
              </a:solidFill>
              <a:effectLst/>
              <a:latin typeface="+mn-lt"/>
              <a:ea typeface="+mn-ea"/>
              <a:cs typeface="+mn-cs"/>
            </a:rPr>
            <a:t>chrome-extension://efaidnbmnnnibpcajpcglclefindmkaj/https://aaieric.org.ar/costos-mano-de-obra</a:t>
          </a:r>
          <a:r>
            <a:rPr lang="es-AR"/>
            <a:t> </a:t>
          </a:r>
          <a:endParaRPr lang="es-AR"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295275</xdr:colOff>
      <xdr:row>105</xdr:row>
      <xdr:rowOff>9525</xdr:rowOff>
    </xdr:from>
    <xdr:to>
      <xdr:col>8</xdr:col>
      <xdr:colOff>781050</xdr:colOff>
      <xdr:row>112</xdr:row>
      <xdr:rowOff>57150</xdr:rowOff>
    </xdr:to>
    <xdr:sp macro="" textlink="">
      <xdr:nvSpPr>
        <xdr:cNvPr id="2" name="CuadroTexto 1">
          <a:extLst>
            <a:ext uri="{FF2B5EF4-FFF2-40B4-BE49-F238E27FC236}">
              <a16:creationId xmlns:a16="http://schemas.microsoft.com/office/drawing/2014/main" id="{7A1C47A3-C98D-7B8B-E477-3A12DF64934D}"/>
            </a:ext>
          </a:extLst>
        </xdr:cNvPr>
        <xdr:cNvSpPr txBox="1"/>
      </xdr:nvSpPr>
      <xdr:spPr>
        <a:xfrm>
          <a:off x="7362825" y="21516975"/>
          <a:ext cx="3657600" cy="1190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a:t>Los costos de mano de obra se determinan en base a la camara argentina de refrigeracion</a:t>
          </a:r>
        </a:p>
        <a:p>
          <a:endParaRPr lang="es-AR" sz="1100"/>
        </a:p>
        <a:p>
          <a:r>
            <a:rPr lang="es-AR" sz="1100"/>
            <a:t>https://www.camaraargentinaderefrigeracion.com/precios-sugeridos-2019-2020</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581025</xdr:colOff>
      <xdr:row>116</xdr:row>
      <xdr:rowOff>57150</xdr:rowOff>
    </xdr:from>
    <xdr:to>
      <xdr:col>8</xdr:col>
      <xdr:colOff>495300</xdr:colOff>
      <xdr:row>119</xdr:row>
      <xdr:rowOff>133350</xdr:rowOff>
    </xdr:to>
    <xdr:sp macro="" textlink="">
      <xdr:nvSpPr>
        <xdr:cNvPr id="2" name="CuadroTexto 1">
          <a:extLst>
            <a:ext uri="{FF2B5EF4-FFF2-40B4-BE49-F238E27FC236}">
              <a16:creationId xmlns:a16="http://schemas.microsoft.com/office/drawing/2014/main" id="{454FEF5D-EBBA-406A-7272-6BA12569BC5C}"/>
            </a:ext>
          </a:extLst>
        </xdr:cNvPr>
        <xdr:cNvSpPr txBox="1"/>
      </xdr:nvSpPr>
      <xdr:spPr>
        <a:xfrm>
          <a:off x="8305800" y="24041100"/>
          <a:ext cx="4038600" cy="819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a:t>Se tienen en</a:t>
          </a:r>
          <a:r>
            <a:rPr lang="es-AR" sz="1100" baseline="0"/>
            <a:t> consideracion los precios establecidos por parte de la camara argentina de proteccion contra incendio</a:t>
          </a:r>
        </a:p>
        <a:p>
          <a:endParaRPr lang="es-AR" sz="1100" baseline="0"/>
        </a:p>
        <a:p>
          <a:r>
            <a:rPr lang="es-AR" sz="1100"/>
            <a:t>https://www.cemera.org.ar/panel/listas-de-precios</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gustin\Dropbox\PROYECTO%20FINAL\4%20-%20ANALISIS%20ECONOMICO%20-%20FINANCIERO\ESCENARIOS\ESCENARIO%20PESIMISTA%20(2).xlsx" TargetMode="External"/><Relationship Id="rId1" Type="http://schemas.openxmlformats.org/officeDocument/2006/relationships/externalLinkPath" Target="4%20-%20ANALISIS%20ECONOMICO%20-%20FINANCIERO/ESCENARIOS/ESCENARIO%20PESIMISTA%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dice"/>
      <sheetName val="1.1 - Empresas constructoras"/>
      <sheetName val="1.2 - Superfie autorizadas"/>
      <sheetName val="1.3 - Historico Hormigon"/>
      <sheetName val="1.4 -Proy. hormigon 2024 - 2028"/>
      <sheetName val="1.5 - Proyeccion demanda"/>
      <sheetName val="1.6 - Politica de precio"/>
      <sheetName val="2.1 - Iluminacion"/>
      <sheetName val="2.2 - Refrigeracion"/>
      <sheetName val="2.3 - Incendio"/>
      <sheetName val="2.4 - Ventilacion"/>
      <sheetName val="2.5 - Agua"/>
      <sheetName val="2.6 - Aire"/>
      <sheetName val="2.7 -Potencia "/>
      <sheetName val="3.1 - Localizacion"/>
      <sheetName val="3.2- Distribución Arborea"/>
      <sheetName val="3.3 - Lista de materiales"/>
      <sheetName val="3.4 - Plan de fabricacion"/>
      <sheetName val="3.5 - Personal requerido"/>
      <sheetName val="3.6 - Costos MP"/>
      <sheetName val="3.7 - Costos MOD"/>
      <sheetName val="3.8 - Costos CCP "/>
      <sheetName val="3.9 - Costeo por absorcion"/>
      <sheetName val="3.10 - Inversiones"/>
      <sheetName val="3.11 - Presupuesto gastos"/>
      <sheetName val="3.13 Política de Stock MP"/>
      <sheetName val="3.14 Política de Stock PT"/>
      <sheetName val="4.1 - Cash Flow "/>
      <sheetName val="4.2 - Fujo de fondos"/>
      <sheetName val="4.3 - Financiación"/>
      <sheetName val="4.4 - Amortizaciones"/>
      <sheetName val="4.5 - Estado de resultados"/>
      <sheetName val="5.1 - Matriz de Leopold"/>
      <sheetName val="6.1 Matriz Riesgo"/>
    </sheetNames>
    <sheetDataSet>
      <sheetData sheetId="0"/>
      <sheetData sheetId="1"/>
      <sheetData sheetId="2"/>
      <sheetData sheetId="3"/>
      <sheetData sheetId="4"/>
      <sheetData sheetId="5">
        <row r="5">
          <cell r="L5">
            <v>0</v>
          </cell>
        </row>
        <row r="6">
          <cell r="L6">
            <v>0</v>
          </cell>
        </row>
        <row r="7">
          <cell r="L7">
            <v>367.02972237418214</v>
          </cell>
        </row>
        <row r="8">
          <cell r="L8">
            <v>523.57232508353434</v>
          </cell>
        </row>
        <row r="9">
          <cell r="L9">
            <v>906.6911257259319</v>
          </cell>
        </row>
        <row r="10">
          <cell r="L10">
            <v>1616.5671477092926</v>
          </cell>
        </row>
        <row r="11">
          <cell r="L11">
            <v>2209.2567216277685</v>
          </cell>
        </row>
        <row r="12">
          <cell r="L12">
            <v>3113.3920062007687</v>
          </cell>
        </row>
        <row r="13">
          <cell r="L13">
            <v>3173.48868429094</v>
          </cell>
        </row>
        <row r="14">
          <cell r="L14">
            <v>3436.1701173878319</v>
          </cell>
        </row>
        <row r="15">
          <cell r="L15">
            <v>3987.6473065901032</v>
          </cell>
        </row>
        <row r="16">
          <cell r="L16">
            <v>3434.4087938413113</v>
          </cell>
        </row>
      </sheetData>
      <sheetData sheetId="6">
        <row r="45">
          <cell r="D45">
            <v>10.287896135948786</v>
          </cell>
        </row>
      </sheetData>
      <sheetData sheetId="7"/>
      <sheetData sheetId="8"/>
      <sheetData sheetId="9"/>
      <sheetData sheetId="10"/>
      <sheetData sheetId="11"/>
      <sheetData sheetId="12"/>
      <sheetData sheetId="13"/>
      <sheetData sheetId="14"/>
      <sheetData sheetId="15"/>
      <sheetData sheetId="16"/>
      <sheetData sheetId="17">
        <row r="14">
          <cell r="C14">
            <v>0</v>
          </cell>
          <cell r="D14">
            <v>0</v>
          </cell>
          <cell r="E14">
            <v>4505.6000000000004</v>
          </cell>
          <cell r="F14">
            <v>4096</v>
          </cell>
          <cell r="G14">
            <v>4300.8</v>
          </cell>
          <cell r="H14">
            <v>4096</v>
          </cell>
          <cell r="I14">
            <v>4352</v>
          </cell>
          <cell r="J14">
            <v>4787.2</v>
          </cell>
          <cell r="K14">
            <v>4569.5999999999995</v>
          </cell>
          <cell r="L14">
            <v>4569.5999999999995</v>
          </cell>
          <cell r="M14">
            <v>4352</v>
          </cell>
          <cell r="N14">
            <v>4787.2</v>
          </cell>
        </row>
        <row r="16">
          <cell r="C16">
            <v>0</v>
          </cell>
          <cell r="D16">
            <v>0</v>
          </cell>
          <cell r="E16">
            <v>4138.5702776258186</v>
          </cell>
          <cell r="F16">
            <v>7710.9979525422841</v>
          </cell>
          <cell r="G16">
            <v>11105.106826816353</v>
          </cell>
          <cell r="H16">
            <v>13584.53967910706</v>
          </cell>
          <cell r="I16">
            <v>15727.282957479292</v>
          </cell>
          <cell r="J16">
            <v>17401.090951278522</v>
          </cell>
          <cell r="K16">
            <v>18797.202266987581</v>
          </cell>
          <cell r="L16">
            <v>19930.632149599747</v>
          </cell>
          <cell r="M16">
            <v>20294.984843009643</v>
          </cell>
          <cell r="N16">
            <v>21647.776049168329</v>
          </cell>
        </row>
      </sheetData>
      <sheetData sheetId="18"/>
      <sheetData sheetId="19">
        <row r="27">
          <cell r="F27">
            <v>5232.914503793103</v>
          </cell>
        </row>
        <row r="38">
          <cell r="C38">
            <v>5.2198648416888815</v>
          </cell>
        </row>
      </sheetData>
      <sheetData sheetId="20">
        <row r="70">
          <cell r="F70">
            <v>1554.8859564757483</v>
          </cell>
        </row>
      </sheetData>
      <sheetData sheetId="21">
        <row r="15">
          <cell r="E15">
            <v>0.29694199731441456</v>
          </cell>
        </row>
        <row r="35">
          <cell r="F35">
            <v>1624.4423187882423</v>
          </cell>
        </row>
      </sheetData>
      <sheetData sheetId="22"/>
      <sheetData sheetId="23"/>
      <sheetData sheetId="24">
        <row r="7">
          <cell r="C7">
            <v>2826.0674625935167</v>
          </cell>
        </row>
        <row r="8">
          <cell r="C8">
            <v>2597.9988603491274</v>
          </cell>
        </row>
        <row r="9">
          <cell r="C9">
            <v>0</v>
          </cell>
        </row>
        <row r="10">
          <cell r="C10">
            <v>0</v>
          </cell>
        </row>
        <row r="12">
          <cell r="C12">
            <v>3877.1662381546139</v>
          </cell>
        </row>
        <row r="13">
          <cell r="C13">
            <v>3591.0224438902742</v>
          </cell>
        </row>
        <row r="14">
          <cell r="C14">
            <v>453.11521197007482</v>
          </cell>
        </row>
        <row r="15">
          <cell r="C15">
            <v>754.88279301745638</v>
          </cell>
        </row>
        <row r="16">
          <cell r="C16">
            <v>263.9920199501247</v>
          </cell>
        </row>
        <row r="17">
          <cell r="C17">
            <v>5.4269326683291759</v>
          </cell>
        </row>
        <row r="18">
          <cell r="C18">
            <v>54.862842892768079</v>
          </cell>
        </row>
        <row r="19">
          <cell r="C19">
            <v>200</v>
          </cell>
        </row>
        <row r="20">
          <cell r="C20">
            <v>50</v>
          </cell>
        </row>
        <row r="21">
          <cell r="C21">
            <v>847.88029925187038</v>
          </cell>
        </row>
        <row r="22">
          <cell r="C22">
            <v>500</v>
          </cell>
        </row>
        <row r="23">
          <cell r="C23">
            <v>1000</v>
          </cell>
        </row>
        <row r="25">
          <cell r="C25">
            <v>199.39820200386106</v>
          </cell>
        </row>
        <row r="137">
          <cell r="D137">
            <v>10.287896135948786</v>
          </cell>
          <cell r="E137">
            <v>0.05</v>
          </cell>
        </row>
      </sheetData>
      <sheetData sheetId="25"/>
      <sheetData sheetId="26"/>
      <sheetData sheetId="27"/>
      <sheetData sheetId="28"/>
      <sheetData sheetId="29"/>
      <sheetData sheetId="30"/>
      <sheetData sheetId="31"/>
      <sheetData sheetId="32"/>
      <sheetData sheetId="3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3" Type="http://schemas.openxmlformats.org/officeDocument/2006/relationships/hyperlink" Target="https://articulo.mercadolibre.com.ar/MLA-757924599-fleje-plastico-polipropileno-zuncho-13-16-o-19mm-_JM" TargetMode="External"/><Relationship Id="rId2" Type="http://schemas.openxmlformats.org/officeDocument/2006/relationships/hyperlink" Target="https://articulo.mercadolibre.com.ar/MLA-879865977-plancha-carton-corrugado-120x100cm-pack-10-unidades-_JM" TargetMode="External"/><Relationship Id="rId1" Type="http://schemas.openxmlformats.org/officeDocument/2006/relationships/hyperlink" Target="https://articulo.mercadolibre.com.ar/MLA-1772069278-pallet-tipo-arlog-hasta-1000kg-_JM" TargetMode="External"/><Relationship Id="rId6" Type="http://schemas.openxmlformats.org/officeDocument/2006/relationships/printerSettings" Target="../printerSettings/printerSettings13.bin"/><Relationship Id="rId5" Type="http://schemas.openxmlformats.org/officeDocument/2006/relationships/hyperlink" Target="https://articulo.mercadolibre.com.ar/MLA-934905273-masterbach-_JM" TargetMode="External"/><Relationship Id="rId4" Type="http://schemas.openxmlformats.org/officeDocument/2006/relationships/hyperlink" Target="https://articulo.mercadolibre.com.ar/MLA-1301650927-film-stretch-cristal-50cm-con-mango-virgen-dw-_JM?variation=" TargetMode="Externa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4.xml.rels><?xml version="1.0" encoding="UTF-8" standalone="yes"?>
<Relationships xmlns="http://schemas.openxmlformats.org/package/2006/relationships"><Relationship Id="rId8" Type="http://schemas.openxmlformats.org/officeDocument/2006/relationships/hyperlink" Target="https://articulo.mercadolibre.com.ar/MLA-1437545393-microondas-grill-bgh-quick-chef-b228db9-blanco-28l-220v-_JM" TargetMode="External"/><Relationship Id="rId13" Type="http://schemas.openxmlformats.org/officeDocument/2006/relationships/hyperlink" Target="https://articulo.mercadolibre.com.ar/MLA-1380905597-juego-set-kit-llaves-combinadas-x-12-pcs-8-a-24-_JM" TargetMode="External"/><Relationship Id="rId18" Type="http://schemas.openxmlformats.org/officeDocument/2006/relationships/hyperlink" Target="https://articulo.mercadolibre.com.ar/MLA-813143293-guardarropa-metalico-4-puertas-largas-locker-vestuario-nuevo-_JM" TargetMode="External"/><Relationship Id="rId26" Type="http://schemas.openxmlformats.org/officeDocument/2006/relationships/hyperlink" Target="https://articulo.mercadolibre.com.ar/MLA-619585961-biblioteca-tisera-librero-oficina-escritorio-stock-bib-11-_JM" TargetMode="External"/><Relationship Id="rId3" Type="http://schemas.openxmlformats.org/officeDocument/2006/relationships/hyperlink" Target="https://articulo.mercadolibre.com.ar/MLA-816649518-flejadora-manual-sunchadora-fleje-suncho-plastico-dw-oferta-_JM" TargetMode="External"/><Relationship Id="rId21" Type="http://schemas.openxmlformats.org/officeDocument/2006/relationships/hyperlink" Target="https://www.mercadolibre.com.ar/escritorio-su-office-004-fan-0021-melamina-de-1630mm-x-753mm-x-600mm-x-1400mm-haya-y-negro/p/MLA15980779?pdp_filters=category:MLA30991" TargetMode="External"/><Relationship Id="rId7" Type="http://schemas.openxmlformats.org/officeDocument/2006/relationships/hyperlink" Target="https://listado.mercadolibre.com.ar/horno-electrico-goldstar-gldh85" TargetMode="External"/><Relationship Id="rId12" Type="http://schemas.openxmlformats.org/officeDocument/2006/relationships/hyperlink" Target="https://articulo.mercadolibre.com.ar/MLA-1100372207-set-juego-llaves-tubo-irimo-de-bahco-caja-101-piezas-12-14-_JM" TargetMode="External"/><Relationship Id="rId17" Type="http://schemas.openxmlformats.org/officeDocument/2006/relationships/hyperlink" Target="https://www.mercadolibre.com.ar/soldadora-inverter-gamma-250a-arc250-electrodos-h-5-mm-color-celeste-frecuencia-50-hz/p/MLA26051322?pdp_filters=item_id:MLA1383534577" TargetMode="External"/><Relationship Id="rId25" Type="http://schemas.openxmlformats.org/officeDocument/2006/relationships/hyperlink" Target="https://www.mercadolibre.com.ar/hp-laser-107w-4zb78a-grisnegro-110v240v/p/MLA16209341?pdp_filters=category:MLA1676" TargetMode="External"/><Relationship Id="rId2" Type="http://schemas.openxmlformats.org/officeDocument/2006/relationships/hyperlink" Target="https://articulo.mercadolibre.com.ar/MLA-1147237502-envolvedora-manual-movil-t-55mv-_JM" TargetMode="External"/><Relationship Id="rId16" Type="http://schemas.openxmlformats.org/officeDocument/2006/relationships/hyperlink" Target="https://articulo.mercadolibre.com.ar/MLA-840423064-set-de-herramientas-caja-140-piezas-maletin-kit-completo-129-_JM" TargetMode="External"/><Relationship Id="rId20" Type="http://schemas.openxmlformats.org/officeDocument/2006/relationships/hyperlink" Target="https://articulo.mercadolibre.com.ar/MLA-1213213798-mesa-carro-lusqtoff-porta-herramientas-3-estantes-con-ruedas-_JM" TargetMode="External"/><Relationship Id="rId29" Type="http://schemas.openxmlformats.org/officeDocument/2006/relationships/hyperlink" Target="https://articulo.mercadolibre.com.ar/MLA-1130634410-sillon-2-cuerpos-doble-arco-moderno-estar-recepcion-hogar-_JM" TargetMode="External"/><Relationship Id="rId1" Type="http://schemas.openxmlformats.org/officeDocument/2006/relationships/hyperlink" Target="https://articulo.mercadolibre.com.ar/MLA-791487915-molde-de-inyeccion-matriz-cucharitas-nueva-oportunidad-_JM" TargetMode="External"/><Relationship Id="rId6" Type="http://schemas.openxmlformats.org/officeDocument/2006/relationships/hyperlink" Target="https://www.mercadolibre.com.ar/smart-tv-philips-6900-series-43pfd691777-led-android-10-full-hd-43-110v240v/p/MLA19465098?pdp_filters=category:MLA1002" TargetMode="External"/><Relationship Id="rId11" Type="http://schemas.openxmlformats.org/officeDocument/2006/relationships/hyperlink" Target="https://articulo.mercadolibre.com.ar/MLA-1128156707-juego-kit-set-destornillador-precision-denver-145-piezas-cel-_JM" TargetMode="External"/><Relationship Id="rId24" Type="http://schemas.openxmlformats.org/officeDocument/2006/relationships/hyperlink" Target="https://articulo.mercadolibre.com.ar/MLA-1388375516-dispenser-de-agua-caliente-y-fresca-conex-a-red-premium-_JM" TargetMode="External"/><Relationship Id="rId32" Type="http://schemas.openxmlformats.org/officeDocument/2006/relationships/printerSettings" Target="../printerSettings/printerSettings15.bin"/><Relationship Id="rId5" Type="http://schemas.openxmlformats.org/officeDocument/2006/relationships/hyperlink" Target="https://www.mercadolibre.com.ar/heladera-gafa-hgf358-blanca-con-freezer-282l-220v/p/MLA19710493?pdp_filters=category:MLA398582" TargetMode="External"/><Relationship Id="rId15" Type="http://schemas.openxmlformats.org/officeDocument/2006/relationships/hyperlink" Target="https://www.mercadolibre.com.ar/amoladora-angular-115mm-820w-black-decker-g720n-color-naranja/p/MLA6067073/s?_csrf=801YJWnm-CHO6-BoRwgg5sKzUMBBoyQultvg&amp;mode=page&amp;context=vip&amp;parent_url=%2Fp%2FMLA6067073" TargetMode="External"/><Relationship Id="rId23" Type="http://schemas.openxmlformats.org/officeDocument/2006/relationships/hyperlink" Target="https://articulo.mercadolibre.com.ar/MLA-1179564749-silla-tolix-clasicas-de-metal-negro-mate-resistente-diseno-_JM" TargetMode="External"/><Relationship Id="rId28" Type="http://schemas.openxmlformats.org/officeDocument/2006/relationships/hyperlink" Target="https://articulo.mercadolibre.com.ar/MLA-1313693332-silla-de-escritorio-recepcion-fija-cbrazos-base-cromada-_JM" TargetMode="External"/><Relationship Id="rId10" Type="http://schemas.openxmlformats.org/officeDocument/2006/relationships/hyperlink" Target="https://articulo.mercadolibre.com.ar/MLA-880296054-banco-mesa-de-trabajo-storage-compat-250x80x85hcm-fbia38401-_JM" TargetMode="External"/><Relationship Id="rId19" Type="http://schemas.openxmlformats.org/officeDocument/2006/relationships/hyperlink" Target="https://www.mercadolibre.com.ar/silla-de-escritorio-desillas-darwin-ergonomica-negra-con-tapizado-de-mesh/p/MLA16113646?pdp_filters=item_id:MLA915989789" TargetMode="External"/><Relationship Id="rId31" Type="http://schemas.openxmlformats.org/officeDocument/2006/relationships/hyperlink" Target="https://estanteriasvirreyes.com.ar/producto/rack-metalico-pesado-400x720x100-con-niveles-para-2-500-kg/?srsltid=AfmBOor1fiI-yV2MUaQ6hfIZFyvD7NmBKXAzCAkt_Q3p-1x6twXJmEXejI0" TargetMode="External"/><Relationship Id="rId4" Type="http://schemas.openxmlformats.org/officeDocument/2006/relationships/hyperlink" Target="https://www.mercadolibre.com.ar/calibre-digital-de-medicion-crossmaster-9936518-fibra-de-carbono/p/MLA23787981" TargetMode="External"/><Relationship Id="rId9" Type="http://schemas.openxmlformats.org/officeDocument/2006/relationships/hyperlink" Target="https://articulo.mercadolibre.com.ar/MLA-1928209506-notebook-lenovo-core-i3-1215u-8gb-ram-256gb-ssd-touch-win-11-_JM?searchVariation=181839453400" TargetMode="External"/><Relationship Id="rId14" Type="http://schemas.openxmlformats.org/officeDocument/2006/relationships/hyperlink" Target="https://articulo.mercadolibre.com.ar/MLA-872275514-taladro-atornillador-percutor-lusqtoff-18v-inalambrico-2-bat-_JM" TargetMode="External"/><Relationship Id="rId22" Type="http://schemas.openxmlformats.org/officeDocument/2006/relationships/hyperlink" Target="https://articulo.mercadolibre.com.ar/MLA-1192634789-mesa-estilo-industrial-hierro-y-madera-200x100x75-_JM" TargetMode="External"/><Relationship Id="rId27" Type="http://schemas.openxmlformats.org/officeDocument/2006/relationships/hyperlink" Target="https://articulo.mercadolibre.com.ar/MLA-763979920-armario-metalico-con-2-puertas-batientes-y-3-estantes-_JM" TargetMode="External"/><Relationship Id="rId30" Type="http://schemas.openxmlformats.org/officeDocument/2006/relationships/hyperlink" Target="https://articulo.mercadolibre.com.ar/MLA-1313693332-silla-de-escritorio-recepcion-fija-cbrazos-base-cromada-_JM" TargetMode="Externa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7.bin"/></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hyperlink" Target="https://www.sinis.com.ar/productos/bubbledeck-y-accesorios/esferas-de-bubbledeck-por-m2/esferas-de-270-mm-por-m2" TargetMode="External"/><Relationship Id="rId2" Type="http://schemas.openxmlformats.org/officeDocument/2006/relationships/hyperlink" Target="https://articulo.mercadolibre.com.ar/MLA-1363274440-hormigon-elaborado-m3-h21-financiacion-_JM" TargetMode="External"/><Relationship Id="rId1" Type="http://schemas.openxmlformats.org/officeDocument/2006/relationships/hyperlink" Target="https://www.sinis.com.ar/productos/bubbledeck-y-accesorios/esferas-de-bubbledeck-por-m2/esferas-de-315-mm-por-m2" TargetMode="External"/><Relationship Id="rId5" Type="http://schemas.openxmlformats.org/officeDocument/2006/relationships/drawing" Target="../drawings/drawing6.xml"/><Relationship Id="rId4"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56"/>
  <sheetViews>
    <sheetView showGridLines="0" zoomScale="85" zoomScaleNormal="85" workbookViewId="0"/>
  </sheetViews>
  <sheetFormatPr defaultColWidth="0" defaultRowHeight="14.45"/>
  <cols>
    <col min="1" max="1" width="3.28515625" style="108" customWidth="1"/>
    <col min="2" max="13" width="11.5703125" style="108" customWidth="1"/>
    <col min="14" max="15" width="11.5703125" style="108" hidden="1" customWidth="1"/>
    <col min="16" max="17" width="0" hidden="1" customWidth="1"/>
    <col min="18" max="16384" width="11.5703125" hidden="1"/>
  </cols>
  <sheetData>
    <row r="1" spans="1:17" ht="12" customHeight="1">
      <c r="A1" s="110"/>
      <c r="B1" s="110"/>
      <c r="C1" s="110"/>
      <c r="D1" s="110"/>
      <c r="E1" s="110"/>
      <c r="F1" s="110"/>
      <c r="G1" s="110"/>
      <c r="H1" s="110"/>
      <c r="I1" s="110"/>
      <c r="J1" s="110"/>
      <c r="K1" s="110"/>
      <c r="L1" s="110"/>
      <c r="M1" s="110"/>
    </row>
    <row r="2" spans="1:17" ht="25.9">
      <c r="A2" s="110"/>
      <c r="B2" s="111" t="s">
        <v>0</v>
      </c>
      <c r="C2" s="110"/>
      <c r="D2" s="110"/>
      <c r="E2" s="110"/>
      <c r="F2" s="110"/>
      <c r="G2" s="110"/>
      <c r="H2" s="110"/>
      <c r="I2" s="110"/>
      <c r="J2" s="110"/>
      <c r="K2" s="110"/>
      <c r="L2" s="110"/>
      <c r="M2" s="110"/>
    </row>
    <row r="3" spans="1:17" ht="19.899999999999999" customHeight="1">
      <c r="A3" s="113"/>
      <c r="B3" s="112"/>
      <c r="C3" s="113"/>
      <c r="D3" s="113"/>
      <c r="E3" s="113"/>
      <c r="F3" s="113"/>
      <c r="G3" s="113"/>
      <c r="H3" s="113"/>
      <c r="I3" s="113"/>
      <c r="J3" s="113"/>
      <c r="K3" s="113"/>
      <c r="L3" s="110"/>
      <c r="M3" s="110"/>
    </row>
    <row r="4" spans="1:17" ht="19.899999999999999" customHeight="1">
      <c r="A4" s="113"/>
      <c r="B4" s="114" t="s">
        <v>1</v>
      </c>
      <c r="C4" s="115"/>
      <c r="D4" s="113"/>
      <c r="E4" s="113"/>
      <c r="F4" s="113"/>
      <c r="G4" s="113"/>
      <c r="H4" s="113"/>
      <c r="I4" s="113"/>
      <c r="J4" s="113"/>
      <c r="K4" s="113"/>
      <c r="L4" s="110"/>
      <c r="M4" s="110"/>
    </row>
    <row r="5" spans="1:17" ht="19.899999999999999" customHeight="1">
      <c r="A5" s="113"/>
      <c r="B5" s="117" t="s">
        <v>2</v>
      </c>
      <c r="C5" s="116"/>
      <c r="D5" s="116"/>
      <c r="E5" s="113"/>
      <c r="F5" s="113"/>
      <c r="G5" s="113"/>
      <c r="H5" s="113"/>
      <c r="I5" s="113"/>
      <c r="J5" s="113"/>
      <c r="K5" s="113"/>
      <c r="L5" s="113"/>
      <c r="M5" s="113"/>
      <c r="N5" s="109"/>
      <c r="O5" s="109"/>
      <c r="P5" s="84"/>
      <c r="Q5" s="84"/>
    </row>
    <row r="6" spans="1:17" ht="19.899999999999999" customHeight="1">
      <c r="A6" s="113"/>
      <c r="B6" s="117" t="s">
        <v>3</v>
      </c>
      <c r="C6" s="113"/>
      <c r="D6" s="113"/>
      <c r="E6" s="113"/>
      <c r="F6" s="113"/>
      <c r="G6" s="113"/>
      <c r="H6" s="113"/>
      <c r="I6" s="113"/>
      <c r="J6" s="113"/>
      <c r="K6" s="113"/>
      <c r="L6" s="113"/>
      <c r="M6" s="113"/>
      <c r="N6" s="109"/>
      <c r="O6" s="109"/>
      <c r="P6" s="84"/>
      <c r="Q6" s="84"/>
    </row>
    <row r="7" spans="1:17" ht="19.899999999999999" customHeight="1">
      <c r="A7" s="113"/>
      <c r="B7" s="117" t="s">
        <v>4</v>
      </c>
      <c r="C7" s="113"/>
      <c r="D7" s="113"/>
      <c r="E7" s="113"/>
      <c r="F7" s="113"/>
      <c r="G7" s="113"/>
      <c r="H7" s="113"/>
      <c r="I7" s="113"/>
      <c r="J7" s="113"/>
      <c r="K7" s="113"/>
      <c r="L7" s="113"/>
      <c r="M7" s="113"/>
      <c r="N7" s="109"/>
      <c r="O7" s="109"/>
      <c r="P7" s="84"/>
      <c r="Q7" s="84"/>
    </row>
    <row r="8" spans="1:17" ht="19.899999999999999" customHeight="1">
      <c r="A8" s="113"/>
      <c r="B8" s="117" t="s">
        <v>5</v>
      </c>
      <c r="C8" s="113"/>
      <c r="D8" s="113"/>
      <c r="E8" s="113"/>
      <c r="F8" s="113"/>
      <c r="G8" s="113"/>
      <c r="H8" s="113"/>
      <c r="I8" s="117"/>
      <c r="J8" s="113"/>
      <c r="K8" s="113"/>
      <c r="L8" s="113"/>
      <c r="M8" s="113"/>
      <c r="N8" s="109"/>
      <c r="O8" s="109"/>
      <c r="P8" s="84"/>
      <c r="Q8" s="84"/>
    </row>
    <row r="9" spans="1:17" ht="19.899999999999999" customHeight="1">
      <c r="A9" s="113"/>
      <c r="B9" s="117" t="s">
        <v>6</v>
      </c>
      <c r="C9" s="113"/>
      <c r="D9" s="113"/>
      <c r="E9" s="113"/>
      <c r="F9" s="113"/>
      <c r="G9" s="113"/>
      <c r="H9" s="113"/>
      <c r="I9" s="113"/>
      <c r="J9" s="113"/>
      <c r="K9" s="113"/>
      <c r="L9" s="113"/>
      <c r="M9" s="113"/>
      <c r="N9" s="109"/>
      <c r="O9" s="109"/>
      <c r="P9" s="84"/>
      <c r="Q9" s="84"/>
    </row>
    <row r="10" spans="1:17" ht="19.899999999999999" customHeight="1">
      <c r="A10" s="113"/>
      <c r="B10" s="117" t="s">
        <v>7</v>
      </c>
      <c r="C10" s="113"/>
      <c r="D10" s="113"/>
      <c r="E10" s="113"/>
      <c r="F10" s="113"/>
      <c r="G10" s="113"/>
      <c r="H10" s="113"/>
      <c r="I10" s="113"/>
      <c r="J10" s="113"/>
      <c r="K10" s="113"/>
      <c r="L10" s="113"/>
      <c r="M10" s="113"/>
      <c r="N10" s="109"/>
      <c r="O10" s="109"/>
      <c r="P10" s="84"/>
      <c r="Q10" s="84"/>
    </row>
    <row r="11" spans="1:17" ht="19.899999999999999" customHeight="1">
      <c r="A11" s="113"/>
      <c r="B11" s="117"/>
      <c r="C11" s="113"/>
      <c r="D11" s="113"/>
      <c r="E11" s="113"/>
      <c r="F11" s="113"/>
      <c r="G11" s="113"/>
      <c r="H11" s="113"/>
      <c r="I11" s="113"/>
      <c r="J11" s="113"/>
      <c r="K11" s="113"/>
      <c r="L11" s="113"/>
      <c r="M11" s="113"/>
      <c r="N11" s="109"/>
      <c r="O11" s="109"/>
      <c r="P11" s="84"/>
      <c r="Q11" s="84"/>
    </row>
    <row r="12" spans="1:17" ht="19.899999999999999" customHeight="1">
      <c r="A12" s="113"/>
      <c r="B12" s="585" t="s">
        <v>8</v>
      </c>
      <c r="C12" s="113"/>
      <c r="D12" s="113"/>
      <c r="E12" s="113"/>
      <c r="F12" s="113"/>
      <c r="G12" s="113"/>
      <c r="H12" s="113"/>
      <c r="I12" s="113"/>
      <c r="J12" s="113"/>
      <c r="K12" s="113"/>
      <c r="L12" s="113"/>
      <c r="M12" s="113"/>
      <c r="N12" s="109"/>
      <c r="O12" s="109"/>
      <c r="P12" s="84"/>
      <c r="Q12" s="84"/>
    </row>
    <row r="13" spans="1:17" ht="19.899999999999999" customHeight="1">
      <c r="A13" s="113"/>
      <c r="B13" s="117" t="s">
        <v>9</v>
      </c>
      <c r="C13" s="113"/>
      <c r="D13" s="113"/>
      <c r="E13" s="113"/>
      <c r="F13" s="117"/>
      <c r="G13" s="113"/>
      <c r="H13" s="113"/>
      <c r="I13" s="113"/>
      <c r="J13" s="113"/>
      <c r="K13" s="113"/>
      <c r="L13" s="113"/>
      <c r="M13" s="113"/>
      <c r="N13" s="109"/>
      <c r="O13" s="109"/>
      <c r="P13" s="84"/>
      <c r="Q13" s="84"/>
    </row>
    <row r="14" spans="1:17" ht="19.899999999999999" customHeight="1">
      <c r="A14" s="113"/>
      <c r="B14" s="117" t="s">
        <v>10</v>
      </c>
      <c r="C14" s="113"/>
      <c r="D14" s="113"/>
      <c r="E14" s="113"/>
      <c r="F14" s="117"/>
      <c r="G14" s="113"/>
      <c r="H14" s="113"/>
      <c r="I14" s="113"/>
      <c r="J14" s="113"/>
      <c r="K14" s="113"/>
      <c r="L14" s="113"/>
      <c r="M14" s="113"/>
      <c r="N14" s="109"/>
      <c r="O14" s="109"/>
      <c r="P14" s="84"/>
      <c r="Q14" s="84"/>
    </row>
    <row r="15" spans="1:17" ht="19.899999999999999" customHeight="1">
      <c r="A15" s="113"/>
      <c r="B15" s="117" t="s">
        <v>11</v>
      </c>
      <c r="C15" s="113"/>
      <c r="D15" s="113"/>
      <c r="E15" s="113"/>
      <c r="F15" s="117"/>
      <c r="G15" s="113"/>
      <c r="H15" s="113"/>
      <c r="I15" s="113"/>
      <c r="J15" s="113"/>
      <c r="K15" s="113"/>
      <c r="L15" s="113"/>
      <c r="M15" s="113"/>
      <c r="N15" s="109"/>
      <c r="O15" s="109"/>
      <c r="P15" s="84"/>
      <c r="Q15" s="84"/>
    </row>
    <row r="16" spans="1:17" ht="19.899999999999999" customHeight="1">
      <c r="A16" s="113"/>
      <c r="B16" s="117" t="s">
        <v>12</v>
      </c>
      <c r="C16" s="113"/>
      <c r="D16" s="113"/>
      <c r="E16" s="113"/>
      <c r="F16" s="117"/>
      <c r="G16" s="113"/>
      <c r="H16" s="113"/>
      <c r="I16" s="113"/>
      <c r="J16" s="113"/>
      <c r="K16" s="113"/>
      <c r="L16" s="113"/>
      <c r="M16" s="113"/>
      <c r="N16" s="109"/>
      <c r="O16" s="109"/>
      <c r="P16" s="84"/>
      <c r="Q16" s="84"/>
    </row>
    <row r="17" spans="1:17" ht="19.899999999999999" customHeight="1">
      <c r="A17" s="113"/>
      <c r="B17" s="117" t="s">
        <v>13</v>
      </c>
      <c r="C17" s="113"/>
      <c r="D17" s="113"/>
      <c r="E17" s="113"/>
      <c r="F17" s="117"/>
      <c r="G17" s="113"/>
      <c r="H17" s="113"/>
      <c r="I17" s="113"/>
      <c r="J17" s="113"/>
      <c r="K17" s="113"/>
      <c r="L17" s="113"/>
      <c r="M17" s="113"/>
      <c r="N17" s="109"/>
      <c r="O17" s="109"/>
      <c r="P17" s="84"/>
      <c r="Q17" s="84"/>
    </row>
    <row r="18" spans="1:17" ht="19.899999999999999" customHeight="1">
      <c r="A18" s="113"/>
      <c r="B18" s="117" t="s">
        <v>14</v>
      </c>
      <c r="C18" s="113"/>
      <c r="D18" s="113"/>
      <c r="E18" s="113"/>
      <c r="F18" s="117"/>
      <c r="G18" s="113"/>
      <c r="H18" s="113"/>
      <c r="I18" s="113"/>
      <c r="J18" s="113"/>
      <c r="K18" s="113"/>
      <c r="L18" s="113"/>
      <c r="M18" s="113"/>
      <c r="N18" s="109"/>
      <c r="O18" s="109"/>
      <c r="P18" s="84"/>
      <c r="Q18" s="84"/>
    </row>
    <row r="19" spans="1:17" ht="19.899999999999999" customHeight="1">
      <c r="A19" s="113"/>
      <c r="B19" s="117" t="s">
        <v>15</v>
      </c>
      <c r="C19" s="113"/>
      <c r="D19" s="113"/>
      <c r="E19" s="113"/>
      <c r="F19" s="117"/>
      <c r="G19" s="113"/>
      <c r="H19" s="113"/>
      <c r="I19" s="113"/>
      <c r="J19" s="113"/>
      <c r="K19" s="113"/>
      <c r="L19" s="113"/>
      <c r="M19" s="113"/>
      <c r="N19" s="109"/>
      <c r="O19" s="109"/>
      <c r="P19" s="84"/>
      <c r="Q19" s="84"/>
    </row>
    <row r="20" spans="1:17" ht="19.899999999999999" customHeight="1">
      <c r="A20" s="113"/>
      <c r="B20" s="117"/>
      <c r="C20" s="113"/>
      <c r="D20" s="113"/>
      <c r="E20" s="113"/>
      <c r="F20" s="113"/>
      <c r="G20" s="113"/>
      <c r="H20" s="113"/>
      <c r="I20" s="113"/>
      <c r="J20" s="113"/>
      <c r="K20" s="113"/>
      <c r="L20" s="113"/>
      <c r="M20" s="113"/>
      <c r="N20" s="109"/>
      <c r="O20" s="109"/>
      <c r="P20" s="84"/>
      <c r="Q20" s="84"/>
    </row>
    <row r="21" spans="1:17" ht="19.899999999999999" customHeight="1">
      <c r="A21" s="113"/>
      <c r="B21" s="114" t="s">
        <v>16</v>
      </c>
      <c r="C21" s="115"/>
      <c r="D21" s="113"/>
      <c r="E21" s="113"/>
      <c r="F21" s="113"/>
      <c r="G21" s="113"/>
      <c r="H21" s="113"/>
      <c r="I21" s="113"/>
      <c r="J21" s="113"/>
      <c r="K21" s="113"/>
      <c r="L21" s="113"/>
      <c r="M21" s="113"/>
      <c r="N21" s="109"/>
      <c r="O21" s="109"/>
      <c r="P21" s="84"/>
      <c r="Q21" s="84"/>
    </row>
    <row r="22" spans="1:17" ht="19.899999999999999" customHeight="1">
      <c r="A22" s="113"/>
      <c r="B22" s="117" t="s">
        <v>17</v>
      </c>
      <c r="C22" s="113"/>
      <c r="D22" s="113"/>
      <c r="E22" s="113"/>
      <c r="F22" s="113"/>
      <c r="G22" s="113"/>
      <c r="H22" s="113"/>
      <c r="I22" s="113"/>
      <c r="J22" s="113"/>
      <c r="K22" s="113"/>
      <c r="L22" s="113"/>
      <c r="M22" s="113"/>
      <c r="N22" s="109"/>
      <c r="O22" s="109"/>
      <c r="P22" s="84"/>
      <c r="Q22" s="84"/>
    </row>
    <row r="23" spans="1:17" ht="19.899999999999999" customHeight="1">
      <c r="A23" s="113"/>
      <c r="B23" s="117" t="s">
        <v>18</v>
      </c>
      <c r="C23" s="113"/>
      <c r="D23" s="113"/>
      <c r="E23" s="113"/>
      <c r="F23" s="113"/>
      <c r="G23" s="113"/>
      <c r="H23" s="113"/>
      <c r="I23" s="113"/>
      <c r="J23" s="113"/>
      <c r="K23" s="113"/>
      <c r="L23" s="113"/>
      <c r="M23" s="113"/>
      <c r="N23" s="109"/>
      <c r="O23" s="109"/>
      <c r="P23" s="84"/>
      <c r="Q23" s="84"/>
    </row>
    <row r="24" spans="1:17" ht="19.899999999999999" customHeight="1">
      <c r="A24" s="113"/>
      <c r="B24" s="117" t="s">
        <v>19</v>
      </c>
      <c r="C24" s="113"/>
      <c r="D24" s="113"/>
      <c r="E24" s="113"/>
      <c r="F24" s="113"/>
      <c r="G24" s="113"/>
      <c r="H24" s="113"/>
      <c r="I24" s="113"/>
      <c r="J24" s="113"/>
      <c r="K24" s="113"/>
      <c r="L24" s="113"/>
      <c r="M24" s="113"/>
      <c r="N24" s="109"/>
      <c r="O24" s="109"/>
      <c r="P24" s="84"/>
      <c r="Q24" s="84"/>
    </row>
    <row r="25" spans="1:17" ht="19.899999999999999" customHeight="1">
      <c r="A25" s="113"/>
      <c r="B25" s="117" t="s">
        <v>20</v>
      </c>
      <c r="C25" s="113"/>
      <c r="D25" s="113"/>
      <c r="E25" s="113"/>
      <c r="F25" s="113"/>
      <c r="G25" s="113"/>
      <c r="H25" s="113"/>
      <c r="I25" s="113"/>
      <c r="J25" s="113"/>
      <c r="K25" s="113"/>
      <c r="L25" s="113"/>
      <c r="M25" s="113"/>
      <c r="N25" s="109"/>
      <c r="O25" s="109"/>
      <c r="P25" s="84"/>
      <c r="Q25" s="84"/>
    </row>
    <row r="26" spans="1:17" ht="19.899999999999999" customHeight="1">
      <c r="A26" s="113"/>
      <c r="B26" s="117" t="s">
        <v>21</v>
      </c>
      <c r="C26" s="113"/>
      <c r="D26" s="113"/>
      <c r="E26" s="113"/>
      <c r="F26" s="113"/>
      <c r="G26" s="113"/>
      <c r="H26" s="113"/>
      <c r="I26" s="113"/>
      <c r="J26" s="113"/>
      <c r="K26" s="113"/>
      <c r="L26" s="113"/>
      <c r="M26" s="113"/>
      <c r="N26" s="109"/>
      <c r="O26" s="109"/>
      <c r="P26" s="84"/>
      <c r="Q26" s="84"/>
    </row>
    <row r="27" spans="1:17" ht="19.899999999999999" customHeight="1">
      <c r="A27" s="113"/>
      <c r="B27" s="117" t="s">
        <v>22</v>
      </c>
      <c r="C27" s="113"/>
      <c r="D27" s="113"/>
      <c r="E27" s="113"/>
      <c r="F27" s="113"/>
      <c r="G27" s="113"/>
      <c r="H27" s="113"/>
      <c r="I27" s="113"/>
      <c r="J27" s="113"/>
      <c r="K27" s="113"/>
      <c r="L27" s="113"/>
      <c r="M27" s="113"/>
      <c r="N27" s="109"/>
      <c r="O27" s="109"/>
      <c r="P27" s="84"/>
      <c r="Q27" s="84"/>
    </row>
    <row r="28" spans="1:17" ht="19.899999999999999" customHeight="1">
      <c r="A28" s="113"/>
      <c r="B28" s="117" t="s">
        <v>23</v>
      </c>
      <c r="C28" s="113"/>
      <c r="D28" s="113"/>
      <c r="E28" s="113"/>
      <c r="F28" s="113"/>
      <c r="G28" s="113"/>
      <c r="H28" s="113"/>
      <c r="I28" s="113"/>
      <c r="J28" s="109"/>
      <c r="K28" s="109"/>
      <c r="L28" s="109"/>
      <c r="M28" s="109"/>
      <c r="N28" s="109"/>
      <c r="O28" s="109"/>
      <c r="P28" s="84"/>
      <c r="Q28" s="84"/>
    </row>
    <row r="29" spans="1:17" ht="19.899999999999999" customHeight="1">
      <c r="A29" s="113"/>
      <c r="B29" s="117" t="s">
        <v>24</v>
      </c>
      <c r="C29" s="113"/>
      <c r="D29" s="113"/>
      <c r="E29" s="113"/>
      <c r="F29" s="113"/>
      <c r="G29" s="113"/>
      <c r="H29" s="113"/>
      <c r="I29" s="109"/>
      <c r="J29" s="109"/>
      <c r="K29" s="109"/>
      <c r="L29" s="109"/>
      <c r="M29" s="109"/>
      <c r="N29" s="109"/>
      <c r="O29" s="109"/>
      <c r="P29" s="84"/>
      <c r="Q29" s="84"/>
    </row>
    <row r="30" spans="1:17" ht="19.899999999999999" customHeight="1">
      <c r="A30" s="113"/>
      <c r="B30" s="117" t="s">
        <v>25</v>
      </c>
      <c r="C30" s="113"/>
      <c r="D30" s="113"/>
      <c r="E30" s="113"/>
      <c r="F30" s="113"/>
      <c r="G30" s="113"/>
      <c r="H30" s="113"/>
      <c r="I30" s="109"/>
      <c r="J30" s="109"/>
      <c r="K30" s="109"/>
      <c r="L30" s="109"/>
      <c r="M30" s="109"/>
      <c r="N30" s="109"/>
      <c r="O30" s="109"/>
      <c r="P30" s="84"/>
      <c r="Q30" s="84"/>
    </row>
    <row r="31" spans="1:17" ht="19.899999999999999" customHeight="1">
      <c r="A31" s="113"/>
      <c r="B31" s="117" t="s">
        <v>26</v>
      </c>
      <c r="C31" s="113"/>
      <c r="D31" s="113"/>
      <c r="E31" s="113"/>
      <c r="F31" s="113"/>
      <c r="G31" s="113"/>
      <c r="H31" s="113"/>
      <c r="I31" s="109"/>
      <c r="J31" s="109"/>
      <c r="K31" s="109"/>
      <c r="L31" s="109"/>
      <c r="M31" s="109"/>
      <c r="N31" s="109"/>
      <c r="O31" s="109"/>
      <c r="P31" s="84"/>
      <c r="Q31" s="84"/>
    </row>
    <row r="32" spans="1:17" ht="19.899999999999999" customHeight="1">
      <c r="A32" s="113"/>
      <c r="B32" s="117" t="s">
        <v>27</v>
      </c>
      <c r="C32" s="113"/>
      <c r="D32" s="113"/>
      <c r="E32" s="113"/>
      <c r="F32" s="117"/>
      <c r="G32" s="113"/>
      <c r="H32" s="113"/>
      <c r="I32" s="109"/>
      <c r="J32" s="109"/>
      <c r="K32" s="109"/>
      <c r="L32" s="109"/>
      <c r="M32" s="109"/>
      <c r="N32" s="109"/>
      <c r="O32" s="109"/>
      <c r="P32" s="84"/>
      <c r="Q32" s="84"/>
    </row>
    <row r="33" spans="1:17" ht="19.899999999999999" customHeight="1">
      <c r="A33" s="113"/>
      <c r="B33" s="117" t="s">
        <v>28</v>
      </c>
      <c r="C33" s="113"/>
      <c r="D33" s="113"/>
      <c r="E33" s="113"/>
      <c r="F33" s="117"/>
      <c r="G33" s="113"/>
      <c r="H33" s="113"/>
      <c r="I33" s="109"/>
      <c r="J33" s="109"/>
      <c r="K33" s="109"/>
      <c r="L33" s="109"/>
      <c r="M33" s="109"/>
      <c r="N33" s="109"/>
      <c r="O33" s="109"/>
      <c r="P33" s="84"/>
      <c r="Q33" s="84"/>
    </row>
    <row r="34" spans="1:17" ht="19.899999999999999" customHeight="1">
      <c r="A34" s="113"/>
      <c r="B34" s="117" t="s">
        <v>29</v>
      </c>
      <c r="C34" s="113"/>
      <c r="D34" s="113"/>
      <c r="E34" s="113"/>
      <c r="F34" s="117"/>
      <c r="G34" s="113"/>
      <c r="H34" s="113"/>
      <c r="I34" s="109"/>
      <c r="J34" s="109"/>
      <c r="K34" s="109"/>
      <c r="L34" s="109"/>
      <c r="M34" s="109"/>
      <c r="N34" s="109"/>
      <c r="O34" s="109"/>
      <c r="P34" s="84"/>
      <c r="Q34" s="84"/>
    </row>
    <row r="35" spans="1:17" ht="19.899999999999999" customHeight="1">
      <c r="A35" s="113"/>
      <c r="B35" s="117" t="s">
        <v>30</v>
      </c>
      <c r="C35" s="113"/>
      <c r="D35" s="113"/>
      <c r="E35" s="113"/>
      <c r="F35" s="117"/>
      <c r="G35" s="113"/>
      <c r="H35" s="113"/>
      <c r="I35" s="109"/>
      <c r="J35" s="109"/>
      <c r="K35" s="109"/>
      <c r="L35" s="109"/>
      <c r="M35" s="109"/>
      <c r="N35" s="109"/>
      <c r="O35" s="109"/>
      <c r="P35" s="84"/>
      <c r="Q35" s="84"/>
    </row>
    <row r="36" spans="1:17" ht="19.899999999999999" customHeight="1">
      <c r="A36" s="109"/>
      <c r="B36" s="113"/>
      <c r="C36" s="113"/>
      <c r="D36" s="113"/>
      <c r="E36" s="113"/>
      <c r="F36" s="113"/>
      <c r="G36" s="113"/>
      <c r="H36" s="113"/>
      <c r="I36" s="109"/>
      <c r="J36" s="109"/>
      <c r="K36" s="109"/>
      <c r="L36" s="109"/>
      <c r="M36" s="109"/>
      <c r="N36" s="109"/>
      <c r="O36" s="109"/>
      <c r="P36" s="84"/>
      <c r="Q36" s="84"/>
    </row>
    <row r="37" spans="1:17" ht="19.899999999999999" customHeight="1">
      <c r="A37" s="109"/>
      <c r="B37" s="1167" t="s">
        <v>31</v>
      </c>
      <c r="C37" s="1168"/>
      <c r="D37" s="109"/>
      <c r="E37" s="109"/>
      <c r="F37" s="109"/>
      <c r="G37" s="109"/>
      <c r="H37" s="109"/>
      <c r="I37" s="109"/>
      <c r="J37" s="109"/>
      <c r="K37" s="109"/>
      <c r="L37" s="109"/>
      <c r="M37" s="109"/>
      <c r="N37" s="109"/>
      <c r="O37" s="109"/>
      <c r="P37" s="84"/>
      <c r="Q37" s="84"/>
    </row>
    <row r="38" spans="1:17" ht="19.899999999999999" customHeight="1">
      <c r="A38" s="113"/>
      <c r="B38" s="117" t="s">
        <v>32</v>
      </c>
      <c r="C38" s="113"/>
      <c r="D38" s="113"/>
      <c r="E38" s="109"/>
      <c r="F38" s="109"/>
      <c r="G38" s="109"/>
      <c r="H38" s="109"/>
      <c r="I38" s="109"/>
      <c r="J38" s="109"/>
      <c r="K38" s="109"/>
      <c r="L38" s="109"/>
      <c r="M38" s="109"/>
      <c r="N38" s="109"/>
      <c r="O38" s="109"/>
      <c r="P38" s="84"/>
      <c r="Q38" s="84"/>
    </row>
    <row r="39" spans="1:17" ht="19.899999999999999" customHeight="1">
      <c r="A39" s="113"/>
      <c r="B39" s="117" t="s">
        <v>33</v>
      </c>
      <c r="C39" s="113"/>
      <c r="D39" s="113"/>
      <c r="E39" s="109"/>
      <c r="F39" s="109"/>
      <c r="G39" s="109"/>
      <c r="H39" s="109"/>
      <c r="I39" s="109"/>
      <c r="J39" s="109"/>
      <c r="K39" s="109"/>
      <c r="L39" s="109"/>
      <c r="M39" s="109"/>
      <c r="N39" s="109"/>
      <c r="O39" s="109"/>
      <c r="P39" s="84"/>
      <c r="Q39" s="84"/>
    </row>
    <row r="40" spans="1:17" ht="19.899999999999999" customHeight="1">
      <c r="A40" s="113"/>
      <c r="B40" s="117" t="s">
        <v>34</v>
      </c>
      <c r="C40" s="113"/>
      <c r="D40" s="113"/>
      <c r="E40" s="109"/>
      <c r="F40" s="109"/>
      <c r="G40" s="109"/>
      <c r="H40" s="109"/>
      <c r="I40" s="109"/>
      <c r="J40" s="109"/>
      <c r="K40" s="109"/>
      <c r="L40" s="109"/>
      <c r="M40" s="109"/>
      <c r="N40" s="109"/>
      <c r="O40" s="109"/>
      <c r="P40" s="84"/>
      <c r="Q40" s="84"/>
    </row>
    <row r="41" spans="1:17" ht="19.899999999999999" customHeight="1">
      <c r="A41" s="113"/>
      <c r="B41" s="117" t="s">
        <v>35</v>
      </c>
      <c r="C41" s="113"/>
      <c r="D41" s="113"/>
      <c r="E41" s="109"/>
      <c r="F41" s="109"/>
      <c r="G41" s="109"/>
      <c r="H41" s="109"/>
      <c r="I41" s="109"/>
      <c r="J41" s="109"/>
      <c r="K41" s="109"/>
      <c r="L41" s="109"/>
      <c r="M41" s="109"/>
      <c r="N41" s="109"/>
      <c r="O41" s="109"/>
      <c r="P41" s="84"/>
    </row>
    <row r="42" spans="1:17" ht="19.899999999999999" customHeight="1">
      <c r="A42" s="113"/>
      <c r="B42" s="117" t="s">
        <v>36</v>
      </c>
      <c r="C42" s="113"/>
      <c r="D42" s="113"/>
      <c r="E42" s="109"/>
      <c r="F42" s="109"/>
      <c r="G42" s="109"/>
      <c r="H42" s="109"/>
      <c r="I42" s="109"/>
      <c r="J42" s="109"/>
      <c r="K42" s="109"/>
      <c r="L42" s="109"/>
      <c r="M42" s="109"/>
      <c r="N42" s="109"/>
      <c r="O42" s="109"/>
      <c r="P42" s="84"/>
    </row>
    <row r="43" spans="1:17" ht="19.899999999999999" customHeight="1">
      <c r="A43" s="109"/>
      <c r="B43" s="109"/>
      <c r="C43" s="109"/>
      <c r="D43" s="109"/>
      <c r="E43" s="109"/>
      <c r="F43" s="109"/>
      <c r="G43" s="109"/>
      <c r="H43" s="109"/>
      <c r="I43" s="109"/>
      <c r="J43" s="109"/>
      <c r="K43" s="109"/>
      <c r="L43" s="109"/>
      <c r="M43" s="109"/>
      <c r="N43" s="109"/>
      <c r="O43" s="109"/>
      <c r="P43" s="84"/>
    </row>
    <row r="44" spans="1:17" ht="19.899999999999999" customHeight="1">
      <c r="A44" s="109"/>
      <c r="B44" s="1167" t="s">
        <v>37</v>
      </c>
      <c r="C44" s="1168"/>
      <c r="D44" s="109"/>
      <c r="E44" s="109"/>
      <c r="F44" s="109"/>
      <c r="G44" s="109"/>
      <c r="H44" s="109"/>
      <c r="I44" s="109"/>
      <c r="J44" s="109"/>
      <c r="K44" s="109"/>
      <c r="L44" s="109"/>
      <c r="M44" s="109"/>
      <c r="N44" s="109"/>
      <c r="O44" s="109"/>
      <c r="P44" s="84"/>
    </row>
    <row r="45" spans="1:17" ht="19.899999999999999" customHeight="1">
      <c r="A45" s="113"/>
      <c r="B45" s="117" t="s">
        <v>38</v>
      </c>
      <c r="C45" s="113"/>
      <c r="D45" s="117"/>
      <c r="E45" s="109"/>
      <c r="F45" s="109"/>
      <c r="G45" s="109"/>
      <c r="H45" s="109"/>
      <c r="I45" s="109"/>
      <c r="J45" s="109"/>
      <c r="K45" s="109"/>
    </row>
    <row r="46" spans="1:17" ht="19.899999999999999" customHeight="1">
      <c r="A46" s="109"/>
      <c r="B46" s="117"/>
      <c r="C46" s="113"/>
      <c r="D46" s="117"/>
      <c r="E46" s="109"/>
      <c r="F46" s="109"/>
      <c r="G46" s="109"/>
      <c r="H46" s="109"/>
      <c r="I46" s="109"/>
      <c r="J46" s="109"/>
      <c r="K46" s="109"/>
    </row>
    <row r="47" spans="1:17" ht="19.899999999999999" customHeight="1">
      <c r="A47" s="109"/>
      <c r="B47" s="1167" t="s">
        <v>39</v>
      </c>
      <c r="C47" s="1168"/>
      <c r="D47" s="109"/>
      <c r="E47" s="109"/>
      <c r="F47" s="109"/>
      <c r="G47" s="109"/>
      <c r="H47" s="109"/>
      <c r="I47" s="109"/>
      <c r="J47" s="109"/>
      <c r="K47" s="109"/>
    </row>
    <row r="48" spans="1:17" ht="19.899999999999999" customHeight="1">
      <c r="A48" s="113"/>
      <c r="B48" s="117" t="s">
        <v>40</v>
      </c>
      <c r="C48" s="113"/>
      <c r="D48" s="109"/>
      <c r="E48" s="109"/>
      <c r="F48" s="109"/>
      <c r="G48" s="109"/>
      <c r="H48" s="109"/>
      <c r="I48" s="109"/>
      <c r="J48" s="109"/>
      <c r="K48" s="109"/>
    </row>
    <row r="49" spans="1:11" ht="19.899999999999999" customHeight="1">
      <c r="A49" s="113"/>
      <c r="B49" s="117" t="s">
        <v>41</v>
      </c>
      <c r="C49" s="113"/>
      <c r="D49" s="113"/>
      <c r="E49" s="109"/>
      <c r="F49" s="109"/>
      <c r="G49" s="109"/>
      <c r="H49" s="109"/>
      <c r="I49" s="109"/>
      <c r="J49" s="109"/>
      <c r="K49" s="109"/>
    </row>
    <row r="50" spans="1:11" ht="19.899999999999999" customHeight="1">
      <c r="A50" s="109"/>
      <c r="B50" s="109"/>
      <c r="C50" s="109"/>
      <c r="D50" s="109"/>
      <c r="E50" s="109"/>
      <c r="F50" s="109"/>
      <c r="G50" s="109"/>
      <c r="H50" s="109"/>
      <c r="I50" s="109"/>
      <c r="J50" s="109"/>
      <c r="K50" s="109"/>
    </row>
    <row r="51" spans="1:11" ht="19.899999999999999" customHeight="1">
      <c r="A51" s="109"/>
      <c r="B51" s="1167" t="s">
        <v>42</v>
      </c>
      <c r="C51" s="1168"/>
      <c r="D51" s="109"/>
      <c r="E51" s="109"/>
      <c r="F51" s="109"/>
      <c r="G51" s="109"/>
      <c r="H51" s="109"/>
      <c r="I51" s="109"/>
      <c r="J51" s="109"/>
      <c r="K51" s="109"/>
    </row>
    <row r="52" spans="1:11" ht="19.899999999999999" customHeight="1">
      <c r="A52" s="113"/>
      <c r="B52" s="117" t="s">
        <v>43</v>
      </c>
      <c r="C52" s="113"/>
      <c r="D52" s="109"/>
      <c r="E52" s="117"/>
      <c r="F52" s="109"/>
      <c r="G52" s="109"/>
      <c r="H52" s="109"/>
      <c r="I52" s="109"/>
      <c r="J52" s="109"/>
      <c r="K52" s="109"/>
    </row>
    <row r="53" spans="1:11" ht="19.899999999999999" customHeight="1">
      <c r="A53" s="113"/>
      <c r="B53" s="117" t="s">
        <v>44</v>
      </c>
      <c r="C53" s="113"/>
      <c r="D53" s="109"/>
      <c r="E53" s="109"/>
      <c r="F53" s="109"/>
      <c r="G53" s="109"/>
      <c r="H53" s="109"/>
      <c r="I53" s="109"/>
      <c r="J53" s="109"/>
      <c r="K53" s="109"/>
    </row>
    <row r="54" spans="1:11" ht="19.899999999999999" customHeight="1">
      <c r="A54" s="113"/>
      <c r="B54" s="117" t="s">
        <v>45</v>
      </c>
      <c r="C54" s="113"/>
      <c r="D54" s="109"/>
      <c r="E54" s="117"/>
      <c r="F54" s="109"/>
      <c r="G54" s="109"/>
      <c r="H54" s="109"/>
      <c r="I54" s="109"/>
      <c r="J54" s="109"/>
      <c r="K54" s="109"/>
    </row>
    <row r="55" spans="1:11" ht="19.899999999999999" customHeight="1">
      <c r="A55" s="113"/>
      <c r="B55" s="117" t="s">
        <v>46</v>
      </c>
      <c r="C55" s="113"/>
      <c r="D55" s="113"/>
      <c r="E55" s="117"/>
      <c r="F55" s="109"/>
      <c r="G55" s="109"/>
      <c r="H55" s="109"/>
      <c r="I55" s="109"/>
      <c r="J55" s="109"/>
      <c r="K55" s="109"/>
    </row>
    <row r="56" spans="1:11" ht="19.899999999999999" customHeight="1">
      <c r="A56" s="113"/>
      <c r="B56" s="117" t="s">
        <v>47</v>
      </c>
      <c r="C56" s="113"/>
      <c r="D56" s="113"/>
      <c r="E56" s="117"/>
      <c r="F56" s="117"/>
      <c r="G56" s="109"/>
      <c r="H56" s="109"/>
      <c r="I56" s="109"/>
      <c r="J56" s="109"/>
      <c r="K56" s="109"/>
    </row>
  </sheetData>
  <hyperlinks>
    <hyperlink ref="B6" location="'1.2 - Superfie autorizadas'!A1" display="1.2 - Analisis total metros cuadrados autorizados a construccion periodo 2020 - 2022 - CABA y 176 principales municipios del pais" xr:uid="{00000000-0004-0000-0000-000000000000}"/>
    <hyperlink ref="B7" location="'1.3 - Historico Hormigon'!A1" display="1.3 - Analisis demanda hormigon elaborado periodo 2017-2022 - " xr:uid="{00000000-0004-0000-0000-000001000000}"/>
    <hyperlink ref="B9" location="'1.5 - Proyeccion demanda'!A1" display="1.5 - Estimacion de la demanda de aliviandores de losa periodo 2023 - 2027" xr:uid="{00000000-0004-0000-0000-000002000000}"/>
    <hyperlink ref="B5" location="'1.1 - Empresas constructoras'!A1" display="1.1  - Analisis total empresas contructoras en Argentina periodo 2018-2022" xr:uid="{00000000-0004-0000-0000-000003000000}"/>
    <hyperlink ref="B10" location="'1.6 - Politica de precio'!A1" display="1.6 - Analisis politica de precios" xr:uid="{00000000-0004-0000-0000-000004000000}"/>
    <hyperlink ref="B13" location="'2.1 - Iluminacion'!A1" display="2.1 - Instalacion de iluminacion" xr:uid="{00000000-0004-0000-0000-000005000000}"/>
    <hyperlink ref="B14" location="'2.2 - Refrigeracion'!A1" display="2.2 - Instalacion de refrigeracion" xr:uid="{00000000-0004-0000-0000-000006000000}"/>
    <hyperlink ref="B15" location="'2.3 - Incendio'!A1" display="2.3 - Instalacion de proteccion contra incendios." xr:uid="{00000000-0004-0000-0000-000007000000}"/>
    <hyperlink ref="B22" location="'3.1 - Localizacion'!A1" display="3.1 - Analisis de proveedores y matriz de ponderacion localizacion de planta" xr:uid="{00000000-0004-0000-0000-000008000000}"/>
    <hyperlink ref="B17" location="'2.5 - Agua'!A1" display="2.5 - Instalacion de agua" xr:uid="{00000000-0004-0000-0000-000009000000}"/>
    <hyperlink ref="B18" location="'2.6 - Aire'!A1" display="2.6 - Instalacion de aire" xr:uid="{00000000-0004-0000-0000-00000A000000}"/>
    <hyperlink ref="B19" location="'2.7 -Potencia '!A1" display="2.7 - Instalacion de potencia" xr:uid="{00000000-0004-0000-0000-00000B000000}"/>
    <hyperlink ref="B8" location="'1.4 -Proy. hormigon 2024 - 2028'!A1" display="1.4 - Estimacion de la demanda y analisis de hormigon elaborado periodo 2024 - 2028 - Regresion por minimos cuadrados con factor estacional" xr:uid="{00000000-0004-0000-0000-00000C000000}"/>
    <hyperlink ref="B38" location="'4.1 - Cash Flow '!A1" display="4.1 - Cash Flow " xr:uid="{00000000-0004-0000-0000-00000D000000}"/>
    <hyperlink ref="B39" location="'4.2 - Fujo de fondos'!A1" display="4.2 - Flujo de fondos" xr:uid="{00000000-0004-0000-0000-00000E000000}"/>
    <hyperlink ref="B40" location="'4.3 - Financiación'!A1" display="4.3 - Financiación" xr:uid="{00000000-0004-0000-0000-00000F000000}"/>
    <hyperlink ref="B41" location="'4.4 - Amortizaciones'!A1" display="4.4 - Amortizaciones" xr:uid="{00000000-0004-0000-0000-000010000000}"/>
    <hyperlink ref="B42" location="'4.5 - Estado de resultados'!A1" display="4.5 - Estado de resultados" xr:uid="{00000000-0004-0000-0000-000011000000}"/>
    <hyperlink ref="B45" location="'5.1 - Matriz de Leopold'!A1" display="5.1 - Matriz de Leopold" xr:uid="{00000000-0004-0000-0000-000012000000}"/>
    <hyperlink ref="B48" location="'6.1 Matriz Riesgo'!A1" display="6.1 - Matriz de riegos" xr:uid="{00000000-0004-0000-0000-000013000000}"/>
    <hyperlink ref="B49" location="'6.2 Analisis de sensibilidad'!A1" display="6.2 - Analisis de sensibilidad" xr:uid="{00000000-0004-0000-0000-000014000000}"/>
    <hyperlink ref="B52" location="'7.1- Escenario Optimista'!A1" display="7.1 - Escenario Optimista" xr:uid="{00000000-0004-0000-0000-000015000000}"/>
    <hyperlink ref="B53" location="'7.2 - Escenario Optimista Corre'!A1" display="7.2 - Escenario Optimista Modificado" xr:uid="{00000000-0004-0000-0000-000016000000}"/>
    <hyperlink ref="B54" location="'7.3 - Escenario Pesimista'!A1" display="7.3 - Escenario Pesimista" xr:uid="{00000000-0004-0000-0000-000017000000}"/>
    <hyperlink ref="B55" location="'7.4 - Escenario Pesimista Corre'!A1" display="7.4 - Escenario Pesimista modificado" xr:uid="{00000000-0004-0000-0000-000018000000}"/>
    <hyperlink ref="B56" location="'7.5 - Analisis comparativo '!A1" display="7.5 - Analisis comparativo" xr:uid="{00000000-0004-0000-0000-000019000000}"/>
    <hyperlink ref="B23" location="'3.2- Distribución Arborea'!A1" display="3.2 - Diagrama arboreo" xr:uid="{00000000-0004-0000-0000-00001A000000}"/>
    <hyperlink ref="B24" location="'3.3 - Lista de materiales'!A1" display="3.3 - Lista de materiales" xr:uid="{00000000-0004-0000-0000-00001B000000}"/>
    <hyperlink ref="B25" location="'3.4 - Plan de fabricacion'!A1" display="3.4 - Plan de fabricacion" xr:uid="{00000000-0004-0000-0000-00001C000000}"/>
    <hyperlink ref="B26" location="'3.5 - Personal requerido'!A1" display="3.5 - Determinacion del personal requerido" xr:uid="{00000000-0004-0000-0000-00001D000000}"/>
    <hyperlink ref="B27" location="'3.6 - Costos MP'!A1" display="3.6 - Determinarcion costos de materia prima" xr:uid="{00000000-0004-0000-0000-00001E000000}"/>
    <hyperlink ref="B28" location="'3.7 - Costos MOD'!A1" display="3.7 - Determinacion costos mano de obra directa " xr:uid="{00000000-0004-0000-0000-00001F000000}"/>
    <hyperlink ref="B29" location="'3.8 - Costos CCP '!A1" display="3.8 - Determinacion costos comunes de produccion" xr:uid="{00000000-0004-0000-0000-000020000000}"/>
    <hyperlink ref="B30" location="'3.9 - Costeo por absorcion'!A1" display="3.9 - Costeo por absorcion del producto" xr:uid="{00000000-0004-0000-0000-000021000000}"/>
    <hyperlink ref="B31" location="'3.10 - Inversiones'!A1" display="3.10 - Inversiones periodo 2024-2028" xr:uid="{00000000-0004-0000-0000-000022000000}"/>
    <hyperlink ref="B32" location="'3.11 - Presupuesto gastos'!A1" display="3.11 - Presupuesto gastos" xr:uid="{00000000-0004-0000-0000-000023000000}"/>
    <hyperlink ref="B33" location="'3.12 - Punto de equilibrio'!A1" display="3.12 - Punto de equilibrio" xr:uid="{3065FF8B-5CFA-4A46-B5F9-3AED603D5B53}"/>
    <hyperlink ref="B34" location="'3.13 Política de Stock MP'!A1" display="3.13 - Politica de stock MP" xr:uid="{F103FEC3-AE17-498B-B599-D035081AE47E}"/>
    <hyperlink ref="B35" location="'3.14 Política de Stock PT'!A1" display="3.14 - Politica de stock PT" xr:uid="{144EECDD-423F-464A-958A-8D532314463A}"/>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B1:Y130"/>
  <sheetViews>
    <sheetView showGridLines="0" zoomScale="80" zoomScaleNormal="80" zoomScaleSheetLayoutView="50" workbookViewId="0">
      <selection activeCell="C2" sqref="C2"/>
    </sheetView>
  </sheetViews>
  <sheetFormatPr defaultColWidth="11.5703125" defaultRowHeight="15" customHeight="1"/>
  <cols>
    <col min="1" max="1" width="8.7109375" customWidth="1"/>
    <col min="2" max="2" width="29.85546875" style="134" customWidth="1"/>
    <col min="3" max="3" width="43" style="134" bestFit="1" customWidth="1"/>
    <col min="4" max="4" width="16.7109375" style="134" bestFit="1" customWidth="1"/>
    <col min="5" max="5" width="14.42578125" style="134" customWidth="1"/>
    <col min="6" max="6" width="20.7109375" style="134" customWidth="1"/>
    <col min="7" max="7" width="21.7109375" style="134" customWidth="1"/>
    <col min="8" max="8" width="17.7109375" style="134" customWidth="1"/>
    <col min="9" max="9" width="12.28515625" style="134" bestFit="1" customWidth="1"/>
    <col min="10" max="10" width="11.5703125" style="134"/>
    <col min="11" max="11" width="13.85546875" style="134" bestFit="1" customWidth="1"/>
    <col min="12" max="12" width="11.5703125" style="122"/>
    <col min="13" max="13" width="11.5703125" style="134"/>
    <col min="14" max="14" width="16.7109375" style="134" customWidth="1"/>
    <col min="15" max="15" width="14.7109375" style="134" customWidth="1"/>
    <col min="16" max="16" width="15.7109375" style="134" customWidth="1"/>
    <col min="17" max="17" width="11.5703125" style="134"/>
    <col min="18" max="18" width="13.85546875" style="134" bestFit="1" customWidth="1"/>
    <col min="19" max="19" width="13.85546875" style="134" customWidth="1"/>
    <col min="20" max="20" width="11.5703125" style="134"/>
    <col min="21" max="21" width="13.7109375" style="134" customWidth="1"/>
    <col min="22" max="22" width="15.28515625" style="134" customWidth="1"/>
    <col min="23" max="23" width="13.28515625" style="134" customWidth="1"/>
    <col min="24" max="25" width="11.5703125" style="134"/>
  </cols>
  <sheetData>
    <row r="1" spans="2:25" ht="15" customHeight="1">
      <c r="B1" s="41"/>
      <c r="C1" s="41"/>
      <c r="D1" s="41"/>
      <c r="E1" s="41"/>
      <c r="F1" s="41"/>
      <c r="G1" s="41"/>
      <c r="H1" s="41"/>
      <c r="I1" s="41"/>
      <c r="J1" s="41"/>
      <c r="K1" s="41"/>
      <c r="L1" s="1346"/>
      <c r="M1" s="41"/>
      <c r="N1" s="41"/>
      <c r="O1" s="41"/>
      <c r="P1" s="180"/>
      <c r="Q1" s="180"/>
      <c r="R1" s="180"/>
      <c r="S1"/>
      <c r="T1"/>
      <c r="U1"/>
      <c r="V1"/>
      <c r="W1"/>
      <c r="X1"/>
      <c r="Y1"/>
    </row>
    <row r="2" spans="2:25" ht="15" customHeight="1">
      <c r="B2" s="1346" t="s">
        <v>126</v>
      </c>
      <c r="C2" s="338" t="s">
        <v>49</v>
      </c>
      <c r="D2" s="41"/>
      <c r="E2" s="41"/>
      <c r="F2" s="41"/>
      <c r="G2" s="41"/>
      <c r="H2" s="41"/>
      <c r="I2" s="41"/>
      <c r="J2"/>
      <c r="K2"/>
      <c r="L2" s="1305"/>
      <c r="M2"/>
      <c r="N2"/>
      <c r="O2"/>
      <c r="P2"/>
      <c r="Q2"/>
      <c r="R2" s="180"/>
      <c r="S2"/>
      <c r="T2"/>
      <c r="U2"/>
      <c r="V2"/>
      <c r="W2"/>
      <c r="X2"/>
      <c r="Y2"/>
    </row>
    <row r="3" spans="2:25" ht="15" customHeight="1">
      <c r="B3" s="1346"/>
      <c r="C3" s="338"/>
      <c r="D3" s="41"/>
      <c r="E3" s="41"/>
      <c r="F3" s="41"/>
      <c r="G3" s="41"/>
      <c r="H3" s="41"/>
      <c r="I3" s="41"/>
      <c r="J3"/>
      <c r="K3"/>
      <c r="L3" s="1305"/>
      <c r="M3"/>
      <c r="N3"/>
      <c r="O3"/>
      <c r="P3"/>
      <c r="Q3"/>
      <c r="R3" s="180"/>
      <c r="S3"/>
      <c r="T3"/>
      <c r="U3"/>
      <c r="V3"/>
      <c r="W3"/>
      <c r="X3"/>
      <c r="Y3"/>
    </row>
    <row r="4" spans="2:25" s="614" customFormat="1" ht="28.9" customHeight="1">
      <c r="B4" s="1468" t="s">
        <v>326</v>
      </c>
      <c r="C4" s="1468"/>
      <c r="D4" s="1468"/>
      <c r="E4" s="1468"/>
      <c r="F4" s="623"/>
      <c r="G4" s="623"/>
      <c r="H4" s="623"/>
      <c r="I4" s="623"/>
      <c r="L4" s="617"/>
      <c r="R4" s="624"/>
    </row>
    <row r="5" spans="2:25" ht="15" customHeight="1" thickBot="1"/>
    <row r="6" spans="2:25" ht="29.45" customHeight="1">
      <c r="B6" s="669" t="s">
        <v>327</v>
      </c>
      <c r="C6" s="670" t="s">
        <v>328</v>
      </c>
      <c r="D6" s="670" t="s">
        <v>329</v>
      </c>
      <c r="E6" s="671" t="s">
        <v>330</v>
      </c>
    </row>
    <row r="7" spans="2:25" ht="15" customHeight="1">
      <c r="B7" s="664" t="s">
        <v>331</v>
      </c>
      <c r="C7" s="663">
        <v>4400</v>
      </c>
      <c r="D7" s="663" t="s">
        <v>332</v>
      </c>
      <c r="E7" s="665" t="s">
        <v>333</v>
      </c>
    </row>
    <row r="8" spans="2:25" ht="15" customHeight="1">
      <c r="B8" s="664" t="s">
        <v>334</v>
      </c>
      <c r="C8" s="663">
        <v>4000</v>
      </c>
      <c r="D8" s="663" t="s">
        <v>332</v>
      </c>
      <c r="E8" s="665" t="s">
        <v>333</v>
      </c>
    </row>
    <row r="9" spans="2:25" ht="15" customHeight="1">
      <c r="B9" s="664" t="s">
        <v>335</v>
      </c>
      <c r="C9" s="663">
        <v>4500</v>
      </c>
      <c r="D9" s="663" t="s">
        <v>332</v>
      </c>
      <c r="E9" s="665" t="s">
        <v>333</v>
      </c>
    </row>
    <row r="10" spans="2:25" ht="15" customHeight="1">
      <c r="B10" s="664" t="s">
        <v>336</v>
      </c>
      <c r="C10" s="663">
        <v>1000</v>
      </c>
      <c r="D10" s="663" t="s">
        <v>337</v>
      </c>
      <c r="E10" s="665" t="s">
        <v>338</v>
      </c>
    </row>
    <row r="11" spans="2:25" ht="15" customHeight="1">
      <c r="B11" s="664" t="s">
        <v>339</v>
      </c>
      <c r="C11" s="663">
        <v>4000</v>
      </c>
      <c r="D11" s="663" t="s">
        <v>332</v>
      </c>
      <c r="E11" s="665" t="s">
        <v>333</v>
      </c>
    </row>
    <row r="12" spans="2:25" ht="15" customHeight="1" thickBot="1">
      <c r="B12" s="666" t="s">
        <v>340</v>
      </c>
      <c r="C12" s="667">
        <v>1200</v>
      </c>
      <c r="D12" s="667" t="s">
        <v>341</v>
      </c>
      <c r="E12" s="668" t="s">
        <v>342</v>
      </c>
    </row>
    <row r="14" spans="2:25" s="614" customFormat="1" ht="28.9" customHeight="1">
      <c r="B14" s="1468" t="s">
        <v>343</v>
      </c>
      <c r="C14" s="1468"/>
      <c r="D14" s="1468"/>
      <c r="E14" s="1468"/>
      <c r="F14" s="623"/>
      <c r="G14" s="623"/>
      <c r="H14" s="623"/>
      <c r="I14" s="623"/>
      <c r="L14" s="617"/>
      <c r="R14" s="624"/>
    </row>
    <row r="16" spans="2:25" ht="28.9" customHeight="1" thickBot="1">
      <c r="B16" s="672" t="s">
        <v>176</v>
      </c>
      <c r="C16" s="672" t="s">
        <v>237</v>
      </c>
      <c r="D16" s="672" t="s">
        <v>178</v>
      </c>
      <c r="E16" s="673" t="s">
        <v>179</v>
      </c>
      <c r="F16" s="673" t="s">
        <v>344</v>
      </c>
      <c r="G16" s="673" t="s">
        <v>345</v>
      </c>
      <c r="H16" s="673" t="s">
        <v>346</v>
      </c>
      <c r="I16" s="673" t="s">
        <v>347</v>
      </c>
      <c r="J16" s="673" t="s">
        <v>348</v>
      </c>
      <c r="K16" s="673" t="s">
        <v>349</v>
      </c>
      <c r="L16" s="673" t="s">
        <v>350</v>
      </c>
    </row>
    <row r="17" spans="2:12" ht="15" customHeight="1">
      <c r="B17" s="1521">
        <v>1</v>
      </c>
      <c r="C17" s="1523" t="s">
        <v>351</v>
      </c>
      <c r="D17" s="1525">
        <v>7.3</v>
      </c>
      <c r="E17" s="1525">
        <v>8</v>
      </c>
      <c r="F17" s="1525">
        <f>D17*E17</f>
        <v>58.4</v>
      </c>
      <c r="G17" s="674" t="s">
        <v>352</v>
      </c>
      <c r="H17" s="1329" t="s">
        <v>331</v>
      </c>
      <c r="I17" s="1313">
        <v>2000</v>
      </c>
      <c r="J17" s="1313">
        <f>VLOOKUP(H17,$B$6:$E$12,2,FALSE)</f>
        <v>4400</v>
      </c>
      <c r="K17" s="675">
        <f>I17*J17</f>
        <v>8800000</v>
      </c>
      <c r="L17" s="1418">
        <f>SUM(K17:K23)</f>
        <v>237000000</v>
      </c>
    </row>
    <row r="18" spans="2:12" ht="15" customHeight="1">
      <c r="B18" s="1526"/>
      <c r="C18" s="1528"/>
      <c r="D18" s="1398"/>
      <c r="E18" s="1398"/>
      <c r="F18" s="1398"/>
      <c r="G18" s="676" t="s">
        <v>353</v>
      </c>
      <c r="H18" s="1307" t="s">
        <v>336</v>
      </c>
      <c r="I18" s="46">
        <v>2000</v>
      </c>
      <c r="J18" s="46">
        <f t="shared" ref="J18:J57" si="0">VLOOKUP(H18,$B$6:$E$12,2,FALSE)</f>
        <v>1000</v>
      </c>
      <c r="K18" s="677">
        <f t="shared" ref="K18:K29" si="1">I18*J18</f>
        <v>2000000</v>
      </c>
      <c r="L18" s="1419"/>
    </row>
    <row r="19" spans="2:12" ht="15" customHeight="1">
      <c r="B19" s="1526"/>
      <c r="C19" s="1528"/>
      <c r="D19" s="1398"/>
      <c r="E19" s="1398"/>
      <c r="F19" s="1398"/>
      <c r="G19" s="676" t="s">
        <v>354</v>
      </c>
      <c r="H19" s="1307" t="s">
        <v>339</v>
      </c>
      <c r="I19" s="46">
        <v>80</v>
      </c>
      <c r="J19" s="46">
        <f t="shared" si="0"/>
        <v>4000</v>
      </c>
      <c r="K19" s="677">
        <f t="shared" si="1"/>
        <v>320000</v>
      </c>
      <c r="L19" s="1419"/>
    </row>
    <row r="20" spans="2:12" ht="15" customHeight="1">
      <c r="B20" s="1526"/>
      <c r="C20" s="1528"/>
      <c r="D20" s="1398"/>
      <c r="E20" s="1398"/>
      <c r="F20" s="1398"/>
      <c r="G20" s="676" t="s">
        <v>355</v>
      </c>
      <c r="H20" s="1307" t="s">
        <v>335</v>
      </c>
      <c r="I20" s="46">
        <v>100</v>
      </c>
      <c r="J20" s="46">
        <f t="shared" si="0"/>
        <v>4500</v>
      </c>
      <c r="K20" s="677">
        <f t="shared" si="1"/>
        <v>450000</v>
      </c>
      <c r="L20" s="1419"/>
    </row>
    <row r="21" spans="2:12" ht="15" customHeight="1">
      <c r="B21" s="1526"/>
      <c r="C21" s="1528"/>
      <c r="D21" s="1398"/>
      <c r="E21" s="1398"/>
      <c r="F21" s="1398"/>
      <c r="G21" s="676" t="s">
        <v>356</v>
      </c>
      <c r="H21" s="1307" t="s">
        <v>339</v>
      </c>
      <c r="I21" s="46">
        <v>100</v>
      </c>
      <c r="J21" s="46">
        <f t="shared" si="0"/>
        <v>4000</v>
      </c>
      <c r="K21" s="677">
        <f t="shared" si="1"/>
        <v>400000</v>
      </c>
      <c r="L21" s="1419"/>
    </row>
    <row r="22" spans="2:12" ht="15" customHeight="1">
      <c r="B22" s="1526"/>
      <c r="C22" s="1528"/>
      <c r="D22" s="1398"/>
      <c r="E22" s="1398"/>
      <c r="F22" s="1398"/>
      <c r="G22" s="676" t="s">
        <v>357</v>
      </c>
      <c r="H22" s="1307" t="s">
        <v>335</v>
      </c>
      <c r="I22" s="46">
        <v>50000</v>
      </c>
      <c r="J22" s="46">
        <f t="shared" si="0"/>
        <v>4500</v>
      </c>
      <c r="K22" s="677">
        <f t="shared" si="1"/>
        <v>225000000</v>
      </c>
      <c r="L22" s="1419"/>
    </row>
    <row r="23" spans="2:12" ht="15" customHeight="1" thickBot="1">
      <c r="B23" s="1527"/>
      <c r="C23" s="1529"/>
      <c r="D23" s="1530"/>
      <c r="E23" s="1530"/>
      <c r="F23" s="1530"/>
      <c r="G23" s="678" t="s">
        <v>340</v>
      </c>
      <c r="H23" s="1330" t="s">
        <v>340</v>
      </c>
      <c r="I23" s="679">
        <v>25</v>
      </c>
      <c r="J23" s="679">
        <f t="shared" si="0"/>
        <v>1200</v>
      </c>
      <c r="K23" s="680">
        <f t="shared" si="1"/>
        <v>30000</v>
      </c>
      <c r="L23" s="1531"/>
    </row>
    <row r="24" spans="2:12" ht="15" customHeight="1">
      <c r="B24" s="1521">
        <v>2</v>
      </c>
      <c r="C24" s="1523" t="s">
        <v>358</v>
      </c>
      <c r="D24" s="1525">
        <v>7.3</v>
      </c>
      <c r="E24" s="1525">
        <v>9.6</v>
      </c>
      <c r="F24" s="1525">
        <f>D24*E24</f>
        <v>70.08</v>
      </c>
      <c r="G24" s="674" t="s">
        <v>352</v>
      </c>
      <c r="H24" s="1329" t="s">
        <v>331</v>
      </c>
      <c r="I24" s="1313">
        <v>2700</v>
      </c>
      <c r="J24" s="1313">
        <f t="shared" si="0"/>
        <v>4400</v>
      </c>
      <c r="K24" s="675">
        <f t="shared" si="1"/>
        <v>11880000</v>
      </c>
      <c r="L24" s="1418">
        <f>SUM(K24:K29)</f>
        <v>318750000</v>
      </c>
    </row>
    <row r="25" spans="2:12" ht="15" customHeight="1">
      <c r="B25" s="1526"/>
      <c r="C25" s="1528"/>
      <c r="D25" s="1398"/>
      <c r="E25" s="1398"/>
      <c r="F25" s="1398"/>
      <c r="G25" s="676" t="s">
        <v>355</v>
      </c>
      <c r="H25" s="1307" t="s">
        <v>335</v>
      </c>
      <c r="I25" s="46">
        <v>100</v>
      </c>
      <c r="J25" s="46">
        <f t="shared" si="0"/>
        <v>4500</v>
      </c>
      <c r="K25" s="677">
        <f t="shared" si="1"/>
        <v>450000</v>
      </c>
      <c r="L25" s="1419"/>
    </row>
    <row r="26" spans="2:12" ht="15" customHeight="1">
      <c r="B26" s="1526"/>
      <c r="C26" s="1528"/>
      <c r="D26" s="1398"/>
      <c r="E26" s="1398"/>
      <c r="F26" s="1398"/>
      <c r="G26" s="676" t="s">
        <v>357</v>
      </c>
      <c r="H26" s="1307" t="s">
        <v>335</v>
      </c>
      <c r="I26" s="46">
        <v>67500</v>
      </c>
      <c r="J26" s="46">
        <f t="shared" si="0"/>
        <v>4500</v>
      </c>
      <c r="K26" s="677">
        <f t="shared" si="1"/>
        <v>303750000</v>
      </c>
      <c r="L26" s="1419"/>
    </row>
    <row r="27" spans="2:12" ht="15" customHeight="1">
      <c r="B27" s="1526"/>
      <c r="C27" s="1528"/>
      <c r="D27" s="1398"/>
      <c r="E27" s="1398"/>
      <c r="F27" s="1398"/>
      <c r="G27" s="676" t="s">
        <v>354</v>
      </c>
      <c r="H27" s="1307" t="s">
        <v>339</v>
      </c>
      <c r="I27" s="46">
        <v>35</v>
      </c>
      <c r="J27" s="46">
        <f t="shared" si="0"/>
        <v>4000</v>
      </c>
      <c r="K27" s="677">
        <f t="shared" si="1"/>
        <v>140000</v>
      </c>
      <c r="L27" s="1419"/>
    </row>
    <row r="28" spans="2:12" ht="15" customHeight="1">
      <c r="B28" s="1526"/>
      <c r="C28" s="1528"/>
      <c r="D28" s="1398"/>
      <c r="E28" s="1398"/>
      <c r="F28" s="1398"/>
      <c r="G28" s="676" t="s">
        <v>353</v>
      </c>
      <c r="H28" s="1307" t="s">
        <v>336</v>
      </c>
      <c r="I28" s="46">
        <v>2500</v>
      </c>
      <c r="J28" s="46">
        <f t="shared" si="0"/>
        <v>1000</v>
      </c>
      <c r="K28" s="677">
        <f t="shared" si="1"/>
        <v>2500000</v>
      </c>
      <c r="L28" s="1419"/>
    </row>
    <row r="29" spans="2:12" ht="15" customHeight="1" thickBot="1">
      <c r="B29" s="1527"/>
      <c r="C29" s="1529"/>
      <c r="D29" s="1530"/>
      <c r="E29" s="1530"/>
      <c r="F29" s="1530"/>
      <c r="G29" s="678" t="s">
        <v>340</v>
      </c>
      <c r="H29" s="1330" t="s">
        <v>340</v>
      </c>
      <c r="I29" s="679">
        <v>25</v>
      </c>
      <c r="J29" s="679">
        <f t="shared" si="0"/>
        <v>1200</v>
      </c>
      <c r="K29" s="680">
        <f t="shared" si="1"/>
        <v>30000</v>
      </c>
      <c r="L29" s="1531"/>
    </row>
    <row r="30" spans="2:12" ht="15" customHeight="1">
      <c r="B30" s="1521">
        <v>3</v>
      </c>
      <c r="C30" s="1523" t="s">
        <v>359</v>
      </c>
      <c r="D30" s="1525">
        <v>7.3</v>
      </c>
      <c r="E30" s="1525">
        <v>2.5</v>
      </c>
      <c r="F30" s="1525">
        <f>D30*E30</f>
        <v>18.25</v>
      </c>
      <c r="G30" s="674" t="s">
        <v>360</v>
      </c>
      <c r="H30" s="1329" t="s">
        <v>331</v>
      </c>
      <c r="I30" s="1313">
        <v>40</v>
      </c>
      <c r="J30" s="1313">
        <f t="shared" si="0"/>
        <v>4400</v>
      </c>
      <c r="K30" s="675">
        <f>I30*J30</f>
        <v>176000</v>
      </c>
      <c r="L30" s="1418">
        <f>SUM(K30:K31)</f>
        <v>201000</v>
      </c>
    </row>
    <row r="31" spans="2:12" ht="15" customHeight="1" thickBot="1">
      <c r="B31" s="1527"/>
      <c r="C31" s="1529"/>
      <c r="D31" s="1530"/>
      <c r="E31" s="1530"/>
      <c r="F31" s="1530"/>
      <c r="G31" s="678" t="s">
        <v>361</v>
      </c>
      <c r="H31" s="1330" t="s">
        <v>336</v>
      </c>
      <c r="I31" s="679">
        <v>25</v>
      </c>
      <c r="J31" s="679">
        <f t="shared" si="0"/>
        <v>1000</v>
      </c>
      <c r="K31" s="680">
        <f>I31*J31</f>
        <v>25000</v>
      </c>
      <c r="L31" s="1531"/>
    </row>
    <row r="32" spans="2:12" ht="15" customHeight="1">
      <c r="B32" s="1521">
        <v>4</v>
      </c>
      <c r="C32" s="1523" t="s">
        <v>207</v>
      </c>
      <c r="D32" s="1525">
        <v>19.600000000000001</v>
      </c>
      <c r="E32" s="1525">
        <v>20.399999999999999</v>
      </c>
      <c r="F32" s="1525">
        <f>D32*E32</f>
        <v>399.84</v>
      </c>
      <c r="G32" s="674" t="s">
        <v>352</v>
      </c>
      <c r="H32" s="1329" t="s">
        <v>331</v>
      </c>
      <c r="I32" s="1313">
        <v>250</v>
      </c>
      <c r="J32" s="1313">
        <f t="shared" si="0"/>
        <v>4400</v>
      </c>
      <c r="K32" s="675">
        <f>I32*J32</f>
        <v>1100000</v>
      </c>
      <c r="L32" s="1418">
        <f>SUM(K32:K36)</f>
        <v>49265000</v>
      </c>
    </row>
    <row r="33" spans="2:12" ht="15" customHeight="1">
      <c r="B33" s="1526"/>
      <c r="C33" s="1528"/>
      <c r="D33" s="1398"/>
      <c r="E33" s="1398"/>
      <c r="F33" s="1398"/>
      <c r="G33" s="676" t="s">
        <v>362</v>
      </c>
      <c r="H33" s="1307" t="s">
        <v>336</v>
      </c>
      <c r="I33" s="46">
        <v>30000</v>
      </c>
      <c r="J33" s="46">
        <f t="shared" si="0"/>
        <v>1000</v>
      </c>
      <c r="K33" s="677">
        <f>I33*J33</f>
        <v>30000000</v>
      </c>
      <c r="L33" s="1419"/>
    </row>
    <row r="34" spans="2:12" ht="15" customHeight="1">
      <c r="B34" s="1526"/>
      <c r="C34" s="1528"/>
      <c r="D34" s="1398"/>
      <c r="E34" s="1398"/>
      <c r="F34" s="1398"/>
      <c r="G34" s="676" t="s">
        <v>355</v>
      </c>
      <c r="H34" s="1307" t="s">
        <v>335</v>
      </c>
      <c r="I34" s="46">
        <v>10</v>
      </c>
      <c r="J34" s="46">
        <f t="shared" si="0"/>
        <v>4500</v>
      </c>
      <c r="K34" s="677">
        <f t="shared" ref="K34:K55" si="2">I34*J34</f>
        <v>45000</v>
      </c>
      <c r="L34" s="1419"/>
    </row>
    <row r="35" spans="2:12" ht="15" customHeight="1">
      <c r="B35" s="1526"/>
      <c r="C35" s="1528"/>
      <c r="D35" s="1398"/>
      <c r="E35" s="1398"/>
      <c r="F35" s="1398"/>
      <c r="G35" s="676" t="s">
        <v>357</v>
      </c>
      <c r="H35" s="1307" t="s">
        <v>335</v>
      </c>
      <c r="I35" s="46">
        <v>4000</v>
      </c>
      <c r="J35" s="46">
        <f t="shared" si="0"/>
        <v>4500</v>
      </c>
      <c r="K35" s="677">
        <f t="shared" si="2"/>
        <v>18000000</v>
      </c>
      <c r="L35" s="1419"/>
    </row>
    <row r="36" spans="2:12" ht="15" customHeight="1" thickBot="1">
      <c r="B36" s="1522"/>
      <c r="C36" s="1524"/>
      <c r="D36" s="1399"/>
      <c r="E36" s="1399"/>
      <c r="F36" s="1399"/>
      <c r="G36" s="681" t="s">
        <v>340</v>
      </c>
      <c r="H36" s="1308" t="s">
        <v>340</v>
      </c>
      <c r="I36" s="47">
        <v>100</v>
      </c>
      <c r="J36" s="47">
        <f t="shared" si="0"/>
        <v>1200</v>
      </c>
      <c r="K36" s="682">
        <f t="shared" si="2"/>
        <v>120000</v>
      </c>
      <c r="L36" s="1420"/>
    </row>
    <row r="37" spans="2:12" ht="15" customHeight="1">
      <c r="B37" s="1521">
        <v>5</v>
      </c>
      <c r="C37" s="1523" t="s">
        <v>209</v>
      </c>
      <c r="D37" s="1525">
        <v>4.8</v>
      </c>
      <c r="E37" s="1525">
        <v>4.8</v>
      </c>
      <c r="F37" s="1525">
        <f>D37*E37</f>
        <v>23.04</v>
      </c>
      <c r="G37" s="674" t="s">
        <v>363</v>
      </c>
      <c r="H37" s="1329" t="s">
        <v>331</v>
      </c>
      <c r="I37" s="1313">
        <v>100</v>
      </c>
      <c r="J37" s="1313">
        <f t="shared" si="0"/>
        <v>4400</v>
      </c>
      <c r="K37" s="675">
        <f t="shared" si="2"/>
        <v>440000</v>
      </c>
      <c r="L37" s="1418">
        <f>SUM(K37:K38)</f>
        <v>528000</v>
      </c>
    </row>
    <row r="38" spans="2:12" ht="15" customHeight="1" thickBot="1">
      <c r="B38" s="1522"/>
      <c r="C38" s="1524"/>
      <c r="D38" s="1399"/>
      <c r="E38" s="1399"/>
      <c r="F38" s="1399"/>
      <c r="G38" s="681" t="s">
        <v>360</v>
      </c>
      <c r="H38" s="1308" t="s">
        <v>331</v>
      </c>
      <c r="I38" s="47">
        <v>20</v>
      </c>
      <c r="J38" s="47">
        <f t="shared" si="0"/>
        <v>4400</v>
      </c>
      <c r="K38" s="682">
        <f t="shared" si="2"/>
        <v>88000</v>
      </c>
      <c r="L38" s="1420"/>
    </row>
    <row r="39" spans="2:12" ht="15" customHeight="1">
      <c r="B39" s="1521">
        <v>6</v>
      </c>
      <c r="C39" s="1523" t="s">
        <v>364</v>
      </c>
      <c r="D39" s="1525">
        <v>1.1000000000000001</v>
      </c>
      <c r="E39" s="1525">
        <v>2.6</v>
      </c>
      <c r="F39" s="1525">
        <f>D39*E39</f>
        <v>2.8600000000000003</v>
      </c>
      <c r="G39" s="674" t="s">
        <v>360</v>
      </c>
      <c r="H39" s="1329" t="s">
        <v>331</v>
      </c>
      <c r="I39" s="1313">
        <v>20</v>
      </c>
      <c r="J39" s="1313">
        <f t="shared" si="0"/>
        <v>4400</v>
      </c>
      <c r="K39" s="675">
        <f t="shared" si="2"/>
        <v>88000</v>
      </c>
      <c r="L39" s="1418">
        <f>SUM(K39:K40)</f>
        <v>93000</v>
      </c>
    </row>
    <row r="40" spans="2:12" ht="15" customHeight="1" thickBot="1">
      <c r="B40" s="1527"/>
      <c r="C40" s="1529"/>
      <c r="D40" s="1530"/>
      <c r="E40" s="1530"/>
      <c r="F40" s="1530"/>
      <c r="G40" s="678" t="s">
        <v>361</v>
      </c>
      <c r="H40" s="1330" t="s">
        <v>336</v>
      </c>
      <c r="I40" s="679">
        <v>5</v>
      </c>
      <c r="J40" s="679">
        <f t="shared" si="0"/>
        <v>1000</v>
      </c>
      <c r="K40" s="680">
        <f t="shared" si="2"/>
        <v>5000</v>
      </c>
      <c r="L40" s="1531"/>
    </row>
    <row r="41" spans="2:12" ht="15" customHeight="1">
      <c r="B41" s="1521">
        <v>7</v>
      </c>
      <c r="C41" s="1523" t="s">
        <v>212</v>
      </c>
      <c r="D41" s="1525">
        <v>1.1000000000000001</v>
      </c>
      <c r="E41" s="1525">
        <v>2.6</v>
      </c>
      <c r="F41" s="1525">
        <f>D41*E41</f>
        <v>2.8600000000000003</v>
      </c>
      <c r="G41" s="674" t="s">
        <v>360</v>
      </c>
      <c r="H41" s="1329" t="s">
        <v>331</v>
      </c>
      <c r="I41" s="1313">
        <v>20</v>
      </c>
      <c r="J41" s="1313">
        <f t="shared" si="0"/>
        <v>4400</v>
      </c>
      <c r="K41" s="675">
        <f t="shared" si="2"/>
        <v>88000</v>
      </c>
      <c r="L41" s="1418">
        <f>SUM(K41:K42)</f>
        <v>93000</v>
      </c>
    </row>
    <row r="42" spans="2:12" ht="15" customHeight="1" thickBot="1">
      <c r="B42" s="1527"/>
      <c r="C42" s="1529"/>
      <c r="D42" s="1530"/>
      <c r="E42" s="1530"/>
      <c r="F42" s="1530"/>
      <c r="G42" s="678" t="s">
        <v>361</v>
      </c>
      <c r="H42" s="1330" t="s">
        <v>336</v>
      </c>
      <c r="I42" s="679">
        <v>5</v>
      </c>
      <c r="J42" s="679">
        <f t="shared" si="0"/>
        <v>1000</v>
      </c>
      <c r="K42" s="680">
        <f t="shared" si="2"/>
        <v>5000</v>
      </c>
      <c r="L42" s="1531"/>
    </row>
    <row r="43" spans="2:12" ht="15" customHeight="1">
      <c r="B43" s="1521">
        <v>8</v>
      </c>
      <c r="C43" s="1523" t="s">
        <v>244</v>
      </c>
      <c r="D43" s="1525">
        <v>2.8</v>
      </c>
      <c r="E43" s="1525">
        <v>3.4</v>
      </c>
      <c r="F43" s="1525">
        <f>D43*E43</f>
        <v>9.52</v>
      </c>
      <c r="G43" s="674" t="s">
        <v>363</v>
      </c>
      <c r="H43" s="1329" t="s">
        <v>331</v>
      </c>
      <c r="I43" s="1313">
        <v>75</v>
      </c>
      <c r="J43" s="1313">
        <f t="shared" si="0"/>
        <v>4400</v>
      </c>
      <c r="K43" s="675">
        <f t="shared" si="2"/>
        <v>330000</v>
      </c>
      <c r="L43" s="1418">
        <f>SUM(K43:K45)</f>
        <v>415000</v>
      </c>
    </row>
    <row r="44" spans="2:12" ht="15" customHeight="1">
      <c r="B44" s="1526"/>
      <c r="C44" s="1528"/>
      <c r="D44" s="1398"/>
      <c r="E44" s="1398"/>
      <c r="F44" s="1398"/>
      <c r="G44" s="676" t="s">
        <v>365</v>
      </c>
      <c r="H44" s="1307" t="s">
        <v>334</v>
      </c>
      <c r="I44" s="46">
        <v>10</v>
      </c>
      <c r="J44" s="46">
        <f t="shared" si="0"/>
        <v>4000</v>
      </c>
      <c r="K44" s="677">
        <f t="shared" si="2"/>
        <v>40000</v>
      </c>
      <c r="L44" s="1419"/>
    </row>
    <row r="45" spans="2:12" ht="15" customHeight="1" thickBot="1">
      <c r="B45" s="1527"/>
      <c r="C45" s="1529"/>
      <c r="D45" s="1530"/>
      <c r="E45" s="1530"/>
      <c r="F45" s="1530"/>
      <c r="G45" s="678" t="s">
        <v>366</v>
      </c>
      <c r="H45" s="1330" t="s">
        <v>335</v>
      </c>
      <c r="I45" s="679">
        <v>10</v>
      </c>
      <c r="J45" s="679">
        <f t="shared" si="0"/>
        <v>4500</v>
      </c>
      <c r="K45" s="680">
        <f t="shared" si="2"/>
        <v>45000</v>
      </c>
      <c r="L45" s="1531"/>
    </row>
    <row r="46" spans="2:12" ht="15" customHeight="1">
      <c r="B46" s="1521">
        <v>9</v>
      </c>
      <c r="C46" s="1523" t="s">
        <v>263</v>
      </c>
      <c r="D46" s="1525">
        <v>2.8</v>
      </c>
      <c r="E46" s="1525">
        <v>3.4</v>
      </c>
      <c r="F46" s="1525">
        <f>D46*E46</f>
        <v>9.52</v>
      </c>
      <c r="G46" s="674" t="s">
        <v>363</v>
      </c>
      <c r="H46" s="1329" t="s">
        <v>331</v>
      </c>
      <c r="I46" s="1313">
        <v>125</v>
      </c>
      <c r="J46" s="1313">
        <f t="shared" si="0"/>
        <v>4400</v>
      </c>
      <c r="K46" s="675">
        <f t="shared" si="2"/>
        <v>550000</v>
      </c>
      <c r="L46" s="1418">
        <f>SUM(K46:K48)</f>
        <v>740000</v>
      </c>
    </row>
    <row r="47" spans="2:12" ht="15" customHeight="1">
      <c r="B47" s="1526"/>
      <c r="C47" s="1528"/>
      <c r="D47" s="1398"/>
      <c r="E47" s="1398"/>
      <c r="F47" s="1398"/>
      <c r="G47" s="676" t="s">
        <v>365</v>
      </c>
      <c r="H47" s="1307" t="s">
        <v>334</v>
      </c>
      <c r="I47" s="46">
        <v>25</v>
      </c>
      <c r="J47" s="46">
        <f t="shared" si="0"/>
        <v>4000</v>
      </c>
      <c r="K47" s="677">
        <f t="shared" si="2"/>
        <v>100000</v>
      </c>
      <c r="L47" s="1419"/>
    </row>
    <row r="48" spans="2:12" ht="15" customHeight="1" thickBot="1">
      <c r="B48" s="1527"/>
      <c r="C48" s="1529"/>
      <c r="D48" s="1530"/>
      <c r="E48" s="1530"/>
      <c r="F48" s="1530"/>
      <c r="G48" s="678" t="s">
        <v>366</v>
      </c>
      <c r="H48" s="1330" t="s">
        <v>335</v>
      </c>
      <c r="I48" s="679">
        <v>20</v>
      </c>
      <c r="J48" s="679">
        <f t="shared" si="0"/>
        <v>4500</v>
      </c>
      <c r="K48" s="680">
        <f t="shared" si="2"/>
        <v>90000</v>
      </c>
      <c r="L48" s="1531"/>
    </row>
    <row r="49" spans="2:18" ht="15" customHeight="1">
      <c r="B49" s="1521">
        <v>10</v>
      </c>
      <c r="C49" s="1523" t="s">
        <v>264</v>
      </c>
      <c r="D49" s="1525">
        <v>4.0999999999999996</v>
      </c>
      <c r="E49" s="1525">
        <v>3.4</v>
      </c>
      <c r="F49" s="1525">
        <f>D49*E49</f>
        <v>13.939999999999998</v>
      </c>
      <c r="G49" s="674" t="s">
        <v>363</v>
      </c>
      <c r="H49" s="1329" t="s">
        <v>331</v>
      </c>
      <c r="I49" s="1313">
        <v>200</v>
      </c>
      <c r="J49" s="1313">
        <f t="shared" si="0"/>
        <v>4400</v>
      </c>
      <c r="K49" s="675">
        <f t="shared" si="2"/>
        <v>880000</v>
      </c>
      <c r="L49" s="1418">
        <f>SUM(K49:K51)</f>
        <v>1192500</v>
      </c>
    </row>
    <row r="50" spans="2:18" ht="15" customHeight="1">
      <c r="B50" s="1526"/>
      <c r="C50" s="1528"/>
      <c r="D50" s="1398"/>
      <c r="E50" s="1398"/>
      <c r="F50" s="1398"/>
      <c r="G50" s="676" t="s">
        <v>365</v>
      </c>
      <c r="H50" s="1307" t="s">
        <v>334</v>
      </c>
      <c r="I50" s="46">
        <v>50</v>
      </c>
      <c r="J50" s="46">
        <f t="shared" si="0"/>
        <v>4000</v>
      </c>
      <c r="K50" s="677">
        <f t="shared" si="2"/>
        <v>200000</v>
      </c>
      <c r="L50" s="1419"/>
    </row>
    <row r="51" spans="2:18" ht="15" customHeight="1" thickBot="1">
      <c r="B51" s="1527"/>
      <c r="C51" s="1529"/>
      <c r="D51" s="1530"/>
      <c r="E51" s="1530"/>
      <c r="F51" s="1530"/>
      <c r="G51" s="678" t="s">
        <v>366</v>
      </c>
      <c r="H51" s="1330" t="s">
        <v>335</v>
      </c>
      <c r="I51" s="679">
        <v>25</v>
      </c>
      <c r="J51" s="679">
        <f t="shared" si="0"/>
        <v>4500</v>
      </c>
      <c r="K51" s="680">
        <f t="shared" si="2"/>
        <v>112500</v>
      </c>
      <c r="L51" s="1531"/>
    </row>
    <row r="52" spans="2:18" ht="15" customHeight="1">
      <c r="B52" s="1521">
        <v>11</v>
      </c>
      <c r="C52" s="1523" t="s">
        <v>218</v>
      </c>
      <c r="D52" s="1525">
        <v>4.5</v>
      </c>
      <c r="E52" s="1525">
        <v>4.8</v>
      </c>
      <c r="F52" s="1525">
        <f>D52*E52</f>
        <v>21.599999999999998</v>
      </c>
      <c r="G52" s="674" t="s">
        <v>367</v>
      </c>
      <c r="H52" s="1329" t="s">
        <v>331</v>
      </c>
      <c r="I52" s="1313">
        <v>200</v>
      </c>
      <c r="J52" s="1313">
        <f t="shared" si="0"/>
        <v>4400</v>
      </c>
      <c r="K52" s="675">
        <f t="shared" si="2"/>
        <v>880000</v>
      </c>
      <c r="L52" s="1418">
        <f>SUM(K52:K55)</f>
        <v>1165000</v>
      </c>
    </row>
    <row r="53" spans="2:18" ht="15" customHeight="1">
      <c r="B53" s="1526"/>
      <c r="C53" s="1528"/>
      <c r="D53" s="1398"/>
      <c r="E53" s="1398"/>
      <c r="F53" s="1398"/>
      <c r="G53" s="676" t="s">
        <v>368</v>
      </c>
      <c r="H53" s="1307" t="s">
        <v>336</v>
      </c>
      <c r="I53" s="46">
        <v>200</v>
      </c>
      <c r="J53" s="46">
        <f t="shared" si="0"/>
        <v>1000</v>
      </c>
      <c r="K53" s="677">
        <f t="shared" si="2"/>
        <v>200000</v>
      </c>
      <c r="L53" s="1419"/>
    </row>
    <row r="54" spans="2:18" ht="15" customHeight="1">
      <c r="B54" s="1526"/>
      <c r="C54" s="1528"/>
      <c r="D54" s="1398"/>
      <c r="E54" s="1398"/>
      <c r="F54" s="1398"/>
      <c r="G54" s="676" t="s">
        <v>369</v>
      </c>
      <c r="H54" s="1307" t="s">
        <v>339</v>
      </c>
      <c r="I54" s="46">
        <v>10</v>
      </c>
      <c r="J54" s="46">
        <f t="shared" si="0"/>
        <v>4000</v>
      </c>
      <c r="K54" s="677">
        <f t="shared" si="2"/>
        <v>40000</v>
      </c>
      <c r="L54" s="1419"/>
    </row>
    <row r="55" spans="2:18" ht="15" customHeight="1" thickBot="1">
      <c r="B55" s="1527"/>
      <c r="C55" s="1529"/>
      <c r="D55" s="1530"/>
      <c r="E55" s="1530"/>
      <c r="F55" s="1530"/>
      <c r="G55" s="678" t="s">
        <v>369</v>
      </c>
      <c r="H55" s="1330" t="s">
        <v>335</v>
      </c>
      <c r="I55" s="679">
        <v>10</v>
      </c>
      <c r="J55" s="679">
        <f t="shared" si="0"/>
        <v>4500</v>
      </c>
      <c r="K55" s="680">
        <f t="shared" si="2"/>
        <v>45000</v>
      </c>
      <c r="L55" s="1531"/>
    </row>
    <row r="56" spans="2:18" ht="15" customHeight="1">
      <c r="B56" s="1521">
        <v>12</v>
      </c>
      <c r="C56" s="1523" t="s">
        <v>219</v>
      </c>
      <c r="D56" s="1525">
        <v>4.8</v>
      </c>
      <c r="E56" s="1525">
        <v>4.8</v>
      </c>
      <c r="F56" s="1525">
        <f>D56*E56</f>
        <v>23.04</v>
      </c>
      <c r="G56" s="674" t="s">
        <v>370</v>
      </c>
      <c r="H56" s="1329" t="s">
        <v>336</v>
      </c>
      <c r="I56" s="1313">
        <v>300</v>
      </c>
      <c r="J56" s="1313">
        <f t="shared" si="0"/>
        <v>1000</v>
      </c>
      <c r="K56" s="675">
        <f>I56*J56</f>
        <v>300000</v>
      </c>
      <c r="L56" s="1418">
        <f>SUM(K56:K57)</f>
        <v>520000</v>
      </c>
    </row>
    <row r="57" spans="2:18" ht="15" customHeight="1" thickBot="1">
      <c r="B57" s="1522"/>
      <c r="C57" s="1524"/>
      <c r="D57" s="1399"/>
      <c r="E57" s="1399"/>
      <c r="F57" s="1399"/>
      <c r="G57" s="681" t="s">
        <v>367</v>
      </c>
      <c r="H57" s="1308" t="s">
        <v>331</v>
      </c>
      <c r="I57" s="47">
        <v>50</v>
      </c>
      <c r="J57" s="47">
        <f t="shared" si="0"/>
        <v>4400</v>
      </c>
      <c r="K57" s="682">
        <f>I57*J57</f>
        <v>220000</v>
      </c>
      <c r="L57" s="1420"/>
    </row>
    <row r="59" spans="2:18" s="614" customFormat="1" ht="28.9" customHeight="1">
      <c r="B59" s="1468" t="s">
        <v>371</v>
      </c>
      <c r="C59" s="1468"/>
      <c r="D59" s="1468"/>
      <c r="E59" s="1468"/>
      <c r="F59" s="623"/>
      <c r="G59" s="623"/>
      <c r="H59" s="623"/>
      <c r="I59" s="623"/>
      <c r="L59" s="617"/>
      <c r="R59" s="624"/>
    </row>
    <row r="60" spans="2:18" ht="15" customHeight="1" thickBot="1"/>
    <row r="61" spans="2:18" ht="14.45">
      <c r="B61" s="1332" t="s">
        <v>372</v>
      </c>
      <c r="C61" s="1327" t="s">
        <v>177</v>
      </c>
      <c r="D61" s="686" t="s">
        <v>344</v>
      </c>
      <c r="E61" s="686" t="s">
        <v>373</v>
      </c>
      <c r="F61" s="687" t="s">
        <v>374</v>
      </c>
    </row>
    <row r="62" spans="2:18" ht="15" customHeight="1">
      <c r="B62" s="1359">
        <v>1</v>
      </c>
      <c r="C62" s="1368" t="s">
        <v>375</v>
      </c>
      <c r="D62" s="1307">
        <f>F17</f>
        <v>58.4</v>
      </c>
      <c r="E62" s="683">
        <f>L17</f>
        <v>237000000</v>
      </c>
      <c r="F62" s="28">
        <f t="shared" ref="F62:F67" si="3">E62/(4400*D62)</f>
        <v>922.32254047322544</v>
      </c>
    </row>
    <row r="63" spans="2:18" ht="15" customHeight="1">
      <c r="B63" s="1359">
        <f>B62+1</f>
        <v>2</v>
      </c>
      <c r="C63" s="55" t="s">
        <v>358</v>
      </c>
      <c r="D63" s="1307">
        <f>F24</f>
        <v>70.08</v>
      </c>
      <c r="E63" s="683">
        <f>L24</f>
        <v>318750000</v>
      </c>
      <c r="F63" s="28">
        <f t="shared" si="3"/>
        <v>1033.721201743462</v>
      </c>
    </row>
    <row r="64" spans="2:18" ht="15" customHeight="1">
      <c r="B64" s="1359">
        <f>B63+1</f>
        <v>3</v>
      </c>
      <c r="C64" s="55" t="s">
        <v>376</v>
      </c>
      <c r="D64" s="1307">
        <f>F30+F32</f>
        <v>418.09</v>
      </c>
      <c r="E64" s="683">
        <f>L30+L32</f>
        <v>49466000</v>
      </c>
      <c r="F64" s="28">
        <f t="shared" si="3"/>
        <v>26.889599672971674</v>
      </c>
    </row>
    <row r="65" spans="2:23" ht="15" customHeight="1">
      <c r="B65" s="1359">
        <f>B64+1</f>
        <v>4</v>
      </c>
      <c r="C65" s="55" t="s">
        <v>377</v>
      </c>
      <c r="D65" s="1307">
        <f>F37+F39+F41</f>
        <v>28.759999999999998</v>
      </c>
      <c r="E65" s="683">
        <f>L37+L39+L41</f>
        <v>714000</v>
      </c>
      <c r="F65" s="1310">
        <f t="shared" si="3"/>
        <v>5.6423062334049821</v>
      </c>
    </row>
    <row r="66" spans="2:23" ht="15" customHeight="1">
      <c r="B66" s="1359">
        <f>B65+1</f>
        <v>5</v>
      </c>
      <c r="C66" s="55" t="s">
        <v>378</v>
      </c>
      <c r="D66" s="1307">
        <f>F43+F46+F49+F52</f>
        <v>54.58</v>
      </c>
      <c r="E66" s="683">
        <f>L43+L46+L49+L52</f>
        <v>3512500</v>
      </c>
      <c r="F66" s="1310">
        <f t="shared" si="3"/>
        <v>14.6261534361571</v>
      </c>
    </row>
    <row r="67" spans="2:23" ht="15" customHeight="1" thickBot="1">
      <c r="B67" s="1359">
        <f>B66+1</f>
        <v>6</v>
      </c>
      <c r="C67" s="684" t="s">
        <v>219</v>
      </c>
      <c r="D67" s="1308">
        <f>F56</f>
        <v>23.04</v>
      </c>
      <c r="E67" s="685">
        <f>L56</f>
        <v>520000</v>
      </c>
      <c r="F67" s="1311">
        <f t="shared" si="3"/>
        <v>5.129419191919192</v>
      </c>
    </row>
    <row r="69" spans="2:23" s="614" customFormat="1" ht="28.9" customHeight="1">
      <c r="B69" s="1468" t="s">
        <v>379</v>
      </c>
      <c r="C69" s="1468"/>
      <c r="D69" s="1468"/>
      <c r="E69" s="1468"/>
      <c r="F69" s="623"/>
      <c r="G69" s="623"/>
      <c r="H69" s="623"/>
      <c r="I69" s="623"/>
      <c r="L69" s="617"/>
      <c r="R69" s="624"/>
    </row>
    <row r="70" spans="2:23" ht="15" customHeight="1" thickBot="1"/>
    <row r="71" spans="2:23" ht="14.45">
      <c r="B71" s="1332" t="s">
        <v>372</v>
      </c>
      <c r="C71" s="1327" t="s">
        <v>177</v>
      </c>
      <c r="D71" s="1327" t="s">
        <v>380</v>
      </c>
      <c r="E71" s="1327" t="s">
        <v>381</v>
      </c>
      <c r="F71" s="1327" t="s">
        <v>382</v>
      </c>
      <c r="G71" s="696" t="s">
        <v>383</v>
      </c>
      <c r="H71" s="1336" t="s">
        <v>384</v>
      </c>
      <c r="K71" s="1500" t="s">
        <v>385</v>
      </c>
      <c r="L71" s="1501"/>
      <c r="M71" s="1501"/>
      <c r="N71" s="1501"/>
      <c r="O71" s="1501"/>
      <c r="P71" s="1502"/>
      <c r="R71" s="1513" t="s">
        <v>384</v>
      </c>
      <c r="S71" s="1514"/>
      <c r="T71" s="1514"/>
      <c r="U71" s="1514"/>
      <c r="V71" s="1514"/>
      <c r="W71" s="1515"/>
    </row>
    <row r="72" spans="2:23" ht="15" customHeight="1">
      <c r="B72" s="688">
        <f>B62</f>
        <v>1</v>
      </c>
      <c r="C72" s="689" t="str">
        <f>C62</f>
        <v>Deposito Materia Pirma</v>
      </c>
      <c r="D72" s="690">
        <v>0</v>
      </c>
      <c r="E72" s="691">
        <v>3</v>
      </c>
      <c r="F72" s="690" t="s">
        <v>386</v>
      </c>
      <c r="G72" s="691">
        <v>3</v>
      </c>
      <c r="H72" s="692" t="s">
        <v>386</v>
      </c>
      <c r="K72" s="1497" t="s">
        <v>374</v>
      </c>
      <c r="L72" s="1507" t="s">
        <v>329</v>
      </c>
      <c r="M72" s="1508"/>
      <c r="N72" s="1508"/>
      <c r="O72" s="1508"/>
      <c r="P72" s="1509"/>
      <c r="R72" s="1497" t="s">
        <v>374</v>
      </c>
      <c r="S72" s="1516" t="s">
        <v>329</v>
      </c>
      <c r="T72" s="1517"/>
      <c r="U72" s="1517"/>
      <c r="V72" s="1517"/>
      <c r="W72" s="1518"/>
    </row>
    <row r="73" spans="2:23" ht="15" customHeight="1">
      <c r="B73" s="688">
        <f t="shared" ref="B73:C77" si="4">B63</f>
        <v>2</v>
      </c>
      <c r="C73" s="689" t="str">
        <f t="shared" si="4"/>
        <v>Deposito producto terminado</v>
      </c>
      <c r="D73" s="690">
        <v>0</v>
      </c>
      <c r="E73" s="691">
        <v>3</v>
      </c>
      <c r="F73" s="690" t="s">
        <v>386</v>
      </c>
      <c r="G73" s="691">
        <v>3</v>
      </c>
      <c r="H73" s="692" t="s">
        <v>386</v>
      </c>
      <c r="K73" s="1498"/>
      <c r="L73" s="1505" t="s">
        <v>387</v>
      </c>
      <c r="M73" s="1505" t="s">
        <v>388</v>
      </c>
      <c r="N73" s="1505" t="s">
        <v>389</v>
      </c>
      <c r="O73" s="1505" t="s">
        <v>390</v>
      </c>
      <c r="P73" s="1503" t="s">
        <v>391</v>
      </c>
      <c r="R73" s="1498"/>
      <c r="S73" s="1505" t="s">
        <v>387</v>
      </c>
      <c r="T73" s="1505" t="s">
        <v>388</v>
      </c>
      <c r="U73" s="1505" t="s">
        <v>389</v>
      </c>
      <c r="V73" s="1505" t="s">
        <v>390</v>
      </c>
      <c r="W73" s="1503" t="s">
        <v>391</v>
      </c>
    </row>
    <row r="74" spans="2:23" ht="15" customHeight="1" thickBot="1">
      <c r="B74" s="688">
        <f t="shared" si="4"/>
        <v>3</v>
      </c>
      <c r="C74" s="689" t="str">
        <f t="shared" si="4"/>
        <v>Vestuario - Produccion</v>
      </c>
      <c r="D74" s="690">
        <v>0</v>
      </c>
      <c r="E74" s="691">
        <v>3</v>
      </c>
      <c r="F74" s="690" t="s">
        <v>392</v>
      </c>
      <c r="G74" s="691">
        <v>3</v>
      </c>
      <c r="H74" s="692" t="s">
        <v>393</v>
      </c>
      <c r="K74" s="1499"/>
      <c r="L74" s="1506"/>
      <c r="M74" s="1506"/>
      <c r="N74" s="1506"/>
      <c r="O74" s="1506"/>
      <c r="P74" s="1504"/>
      <c r="R74" s="1499"/>
      <c r="S74" s="1519"/>
      <c r="T74" s="1519"/>
      <c r="U74" s="1519"/>
      <c r="V74" s="1519"/>
      <c r="W74" s="1520"/>
    </row>
    <row r="75" spans="2:23" ht="15" customHeight="1" thickTop="1">
      <c r="B75" s="688">
        <f t="shared" si="4"/>
        <v>4</v>
      </c>
      <c r="C75" s="689" t="str">
        <f t="shared" si="4"/>
        <v>Recepcion - Baño hombres - Baño Mujeres</v>
      </c>
      <c r="D75" s="690">
        <v>0</v>
      </c>
      <c r="E75" s="691">
        <v>3</v>
      </c>
      <c r="F75" s="690" t="s">
        <v>394</v>
      </c>
      <c r="G75" s="691">
        <v>3</v>
      </c>
      <c r="H75" s="692" t="s">
        <v>395</v>
      </c>
      <c r="K75" s="153" t="s">
        <v>396</v>
      </c>
      <c r="L75" s="1360" t="s">
        <v>249</v>
      </c>
      <c r="M75" s="1360" t="s">
        <v>249</v>
      </c>
      <c r="N75" s="715" t="s">
        <v>397</v>
      </c>
      <c r="O75" s="715" t="s">
        <v>398</v>
      </c>
      <c r="P75" s="716" t="s">
        <v>398</v>
      </c>
      <c r="R75" s="153" t="s">
        <v>396</v>
      </c>
      <c r="S75" s="1360" t="s">
        <v>249</v>
      </c>
      <c r="T75" s="1360" t="s">
        <v>399</v>
      </c>
      <c r="U75" s="715" t="s">
        <v>400</v>
      </c>
      <c r="V75" s="715" t="s">
        <v>249</v>
      </c>
      <c r="W75" s="716" t="s">
        <v>249</v>
      </c>
    </row>
    <row r="76" spans="2:23" ht="15" customHeight="1">
      <c r="B76" s="688">
        <f t="shared" si="4"/>
        <v>5</v>
      </c>
      <c r="C76" s="689" t="str">
        <f t="shared" si="4"/>
        <v>Oficina N°1 - Oficina N°2 - Oficina N°3 - Comedor</v>
      </c>
      <c r="D76" s="690">
        <v>0</v>
      </c>
      <c r="E76" s="691">
        <v>3</v>
      </c>
      <c r="F76" s="690" t="s">
        <v>394</v>
      </c>
      <c r="G76" s="691">
        <v>3</v>
      </c>
      <c r="H76" s="692" t="s">
        <v>395</v>
      </c>
      <c r="K76" s="153" t="s">
        <v>401</v>
      </c>
      <c r="L76" s="1360" t="s">
        <v>249</v>
      </c>
      <c r="M76" s="1360" t="s">
        <v>249</v>
      </c>
      <c r="N76" s="715" t="s">
        <v>402</v>
      </c>
      <c r="O76" s="715" t="s">
        <v>398</v>
      </c>
      <c r="P76" s="716" t="s">
        <v>398</v>
      </c>
      <c r="R76" s="153" t="s">
        <v>401</v>
      </c>
      <c r="S76" s="1360" t="s">
        <v>249</v>
      </c>
      <c r="T76" s="1360" t="s">
        <v>403</v>
      </c>
      <c r="U76" s="715" t="s">
        <v>399</v>
      </c>
      <c r="V76" s="715" t="s">
        <v>249</v>
      </c>
      <c r="W76" s="716" t="s">
        <v>249</v>
      </c>
    </row>
    <row r="77" spans="2:23" ht="15" customHeight="1" thickBot="1">
      <c r="B77" s="697">
        <f t="shared" si="4"/>
        <v>6</v>
      </c>
      <c r="C77" s="698" t="str">
        <f t="shared" si="4"/>
        <v>Pañol</v>
      </c>
      <c r="D77" s="693">
        <v>0</v>
      </c>
      <c r="E77" s="694">
        <v>3</v>
      </c>
      <c r="F77" s="693" t="s">
        <v>394</v>
      </c>
      <c r="G77" s="694">
        <v>3</v>
      </c>
      <c r="H77" s="695" t="s">
        <v>395</v>
      </c>
      <c r="K77" s="717" t="s">
        <v>404</v>
      </c>
      <c r="L77" s="1307" t="s">
        <v>249</v>
      </c>
      <c r="M77" s="1307" t="s">
        <v>249</v>
      </c>
      <c r="N77" s="718" t="s">
        <v>405</v>
      </c>
      <c r="O77" s="718" t="s">
        <v>402</v>
      </c>
      <c r="P77" s="719" t="s">
        <v>398</v>
      </c>
      <c r="R77" s="153" t="s">
        <v>404</v>
      </c>
      <c r="S77" s="1360" t="s">
        <v>249</v>
      </c>
      <c r="T77" s="1360" t="s">
        <v>406</v>
      </c>
      <c r="U77" s="715" t="s">
        <v>403</v>
      </c>
      <c r="V77" s="715" t="s">
        <v>249</v>
      </c>
      <c r="W77" s="716" t="s">
        <v>249</v>
      </c>
    </row>
    <row r="78" spans="2:23" ht="15" customHeight="1">
      <c r="K78" s="153" t="s">
        <v>407</v>
      </c>
      <c r="L78" s="1360" t="s">
        <v>249</v>
      </c>
      <c r="M78" s="1360" t="s">
        <v>249</v>
      </c>
      <c r="N78" s="715" t="s">
        <v>408</v>
      </c>
      <c r="O78" s="715" t="s">
        <v>409</v>
      </c>
      <c r="P78" s="716" t="s">
        <v>405</v>
      </c>
      <c r="R78" s="153" t="s">
        <v>407</v>
      </c>
      <c r="S78" s="230" t="s">
        <v>249</v>
      </c>
      <c r="T78" s="230" t="s">
        <v>410</v>
      </c>
      <c r="U78" s="720" t="s">
        <v>406</v>
      </c>
      <c r="V78" s="720" t="s">
        <v>249</v>
      </c>
      <c r="W78" s="721" t="s">
        <v>249</v>
      </c>
    </row>
    <row r="79" spans="2:23" ht="15" customHeight="1" thickBot="1">
      <c r="K79" s="32" t="s">
        <v>411</v>
      </c>
      <c r="L79" s="1510" t="s">
        <v>412</v>
      </c>
      <c r="M79" s="1511"/>
      <c r="N79" s="1511"/>
      <c r="O79" s="1511"/>
      <c r="P79" s="1512"/>
      <c r="R79" s="32" t="s">
        <v>411</v>
      </c>
      <c r="S79" s="1510" t="s">
        <v>412</v>
      </c>
      <c r="T79" s="1511"/>
      <c r="U79" s="1511"/>
      <c r="V79" s="1511"/>
      <c r="W79" s="1512"/>
    </row>
    <row r="81" spans="2:18" s="614" customFormat="1" ht="28.9" customHeight="1">
      <c r="B81" s="1468" t="s">
        <v>413</v>
      </c>
      <c r="C81" s="1468"/>
      <c r="D81" s="1468"/>
      <c r="E81" s="1468"/>
      <c r="F81" s="623"/>
      <c r="G81" s="623"/>
      <c r="H81" s="623"/>
      <c r="I81" s="623"/>
      <c r="L81" s="617"/>
      <c r="R81" s="624"/>
    </row>
    <row r="82" spans="2:18" ht="15" customHeight="1" thickBot="1"/>
    <row r="83" spans="2:18" ht="15" customHeight="1" thickBot="1">
      <c r="B83" s="1401" t="s">
        <v>414</v>
      </c>
      <c r="C83" s="1402"/>
      <c r="D83" s="1402"/>
      <c r="E83" s="1402"/>
      <c r="F83" s="1402"/>
      <c r="G83" s="1402"/>
      <c r="H83" s="1402"/>
      <c r="I83" s="1403"/>
    </row>
    <row r="84" spans="2:18" ht="15" customHeight="1">
      <c r="B84" s="1494" t="s">
        <v>372</v>
      </c>
      <c r="C84" s="1462" t="s">
        <v>177</v>
      </c>
      <c r="D84" s="1462" t="s">
        <v>415</v>
      </c>
      <c r="E84" s="1462" t="s">
        <v>416</v>
      </c>
      <c r="F84" s="1462" t="s">
        <v>417</v>
      </c>
      <c r="G84" s="1462" t="s">
        <v>418</v>
      </c>
      <c r="H84" s="1488" t="s">
        <v>419</v>
      </c>
      <c r="I84" s="1487"/>
    </row>
    <row r="85" spans="2:18" ht="15" customHeight="1" thickBot="1">
      <c r="B85" s="1495"/>
      <c r="C85" s="1463"/>
      <c r="D85" s="1463"/>
      <c r="E85" s="1463"/>
      <c r="F85" s="1463"/>
      <c r="G85" s="1463"/>
      <c r="H85" s="1489"/>
      <c r="I85" s="1490"/>
    </row>
    <row r="86" spans="2:18" ht="15" customHeight="1">
      <c r="B86" s="701">
        <f>B72</f>
        <v>1</v>
      </c>
      <c r="C86" s="739" t="str">
        <f>C72</f>
        <v>Deposito Materia Pirma</v>
      </c>
      <c r="D86" s="703">
        <f t="shared" ref="D86:D91" si="5">F62</f>
        <v>922.32254047322544</v>
      </c>
      <c r="E86" s="704">
        <f t="shared" ref="E86:E91" si="6">D62</f>
        <v>58.4</v>
      </c>
      <c r="F86" s="740">
        <f t="shared" ref="F86:F91" si="7">ROUNDUP(E86/200,0)</f>
        <v>1</v>
      </c>
      <c r="G86" s="740">
        <v>3</v>
      </c>
      <c r="H86" s="703" t="str">
        <f t="shared" ref="H86:H91" si="8">F72</f>
        <v>A determinar</v>
      </c>
      <c r="I86" s="705" t="str">
        <f t="shared" ref="I86:I91" si="9">H72</f>
        <v>A determinar</v>
      </c>
    </row>
    <row r="87" spans="2:18" ht="15" customHeight="1">
      <c r="B87" s="688">
        <f t="shared" ref="B87:C91" si="10">B73</f>
        <v>2</v>
      </c>
      <c r="C87" s="689" t="str">
        <f t="shared" si="10"/>
        <v>Deposito producto terminado</v>
      </c>
      <c r="D87" s="690">
        <f t="shared" si="5"/>
        <v>1033.721201743462</v>
      </c>
      <c r="E87" s="699">
        <f t="shared" si="6"/>
        <v>70.08</v>
      </c>
      <c r="F87" s="691">
        <f t="shared" si="7"/>
        <v>1</v>
      </c>
      <c r="G87" s="691">
        <v>3</v>
      </c>
      <c r="H87" s="690" t="str">
        <f t="shared" si="8"/>
        <v>A determinar</v>
      </c>
      <c r="I87" s="692" t="str">
        <f t="shared" si="9"/>
        <v>A determinar</v>
      </c>
    </row>
    <row r="88" spans="2:18" ht="15" customHeight="1">
      <c r="B88" s="688">
        <f t="shared" si="10"/>
        <v>3</v>
      </c>
      <c r="C88" s="689" t="str">
        <f t="shared" si="10"/>
        <v>Vestuario - Produccion</v>
      </c>
      <c r="D88" s="690">
        <f t="shared" si="5"/>
        <v>26.889599672971674</v>
      </c>
      <c r="E88" s="699">
        <f t="shared" si="6"/>
        <v>418.09</v>
      </c>
      <c r="F88" s="691">
        <f t="shared" si="7"/>
        <v>3</v>
      </c>
      <c r="G88" s="691">
        <v>3</v>
      </c>
      <c r="H88" s="690" t="str">
        <f t="shared" si="8"/>
        <v>2A</v>
      </c>
      <c r="I88" s="692" t="str">
        <f t="shared" si="9"/>
        <v>6B</v>
      </c>
    </row>
    <row r="89" spans="2:18" ht="15" customHeight="1">
      <c r="B89" s="688">
        <f t="shared" si="10"/>
        <v>4</v>
      </c>
      <c r="C89" s="689" t="str">
        <f t="shared" si="10"/>
        <v>Recepcion - Baño hombres - Baño Mujeres</v>
      </c>
      <c r="D89" s="690">
        <f t="shared" si="5"/>
        <v>5.6423062334049821</v>
      </c>
      <c r="E89" s="699">
        <f t="shared" si="6"/>
        <v>28.759999999999998</v>
      </c>
      <c r="F89" s="691">
        <f t="shared" si="7"/>
        <v>1</v>
      </c>
      <c r="G89" s="691">
        <v>1</v>
      </c>
      <c r="H89" s="690" t="str">
        <f t="shared" si="8"/>
        <v>1A</v>
      </c>
      <c r="I89" s="692" t="str">
        <f t="shared" si="9"/>
        <v>4B</v>
      </c>
    </row>
    <row r="90" spans="2:18" ht="15" customHeight="1">
      <c r="B90" s="688">
        <f t="shared" si="10"/>
        <v>5</v>
      </c>
      <c r="C90" s="689" t="str">
        <f t="shared" si="10"/>
        <v>Oficina N°1 - Oficina N°2 - Oficina N°3 - Comedor</v>
      </c>
      <c r="D90" s="690">
        <f t="shared" si="5"/>
        <v>14.6261534361571</v>
      </c>
      <c r="E90" s="699">
        <f t="shared" si="6"/>
        <v>54.58</v>
      </c>
      <c r="F90" s="691">
        <f t="shared" si="7"/>
        <v>1</v>
      </c>
      <c r="G90" s="691">
        <v>1</v>
      </c>
      <c r="H90" s="690" t="str">
        <f t="shared" si="8"/>
        <v>1A</v>
      </c>
      <c r="I90" s="692" t="str">
        <f t="shared" si="9"/>
        <v>4B</v>
      </c>
    </row>
    <row r="91" spans="2:18" ht="15" customHeight="1" thickBot="1">
      <c r="B91" s="697">
        <f t="shared" si="10"/>
        <v>6</v>
      </c>
      <c r="C91" s="698" t="str">
        <f t="shared" si="10"/>
        <v>Pañol</v>
      </c>
      <c r="D91" s="693">
        <f t="shared" si="5"/>
        <v>5.129419191919192</v>
      </c>
      <c r="E91" s="700">
        <f t="shared" si="6"/>
        <v>23.04</v>
      </c>
      <c r="F91" s="694">
        <f t="shared" si="7"/>
        <v>1</v>
      </c>
      <c r="G91" s="694">
        <v>1</v>
      </c>
      <c r="H91" s="693" t="str">
        <f t="shared" si="8"/>
        <v>1A</v>
      </c>
      <c r="I91" s="695" t="str">
        <f t="shared" si="9"/>
        <v>4B</v>
      </c>
    </row>
    <row r="93" spans="2:18" s="614" customFormat="1" ht="28.9" customHeight="1">
      <c r="B93" s="1468" t="s">
        <v>420</v>
      </c>
      <c r="C93" s="1468"/>
      <c r="D93" s="1468"/>
      <c r="E93" s="1468"/>
      <c r="F93" s="623"/>
      <c r="G93" s="623"/>
      <c r="H93" s="623"/>
      <c r="I93" s="623"/>
      <c r="L93" s="617"/>
      <c r="R93" s="624"/>
    </row>
    <row r="94" spans="2:18" ht="15" customHeight="1" thickBot="1"/>
    <row r="95" spans="2:18" ht="15" customHeight="1" thickBot="1">
      <c r="B95" s="1491" t="s">
        <v>421</v>
      </c>
      <c r="C95" s="1492"/>
      <c r="D95" s="1492"/>
      <c r="E95" s="1492"/>
      <c r="F95" s="1492"/>
      <c r="G95" s="1492"/>
      <c r="H95" s="1493"/>
    </row>
    <row r="96" spans="2:18" ht="15" customHeight="1">
      <c r="B96" s="1494" t="s">
        <v>372</v>
      </c>
      <c r="C96" s="1462" t="s">
        <v>177</v>
      </c>
      <c r="D96" s="1462" t="s">
        <v>422</v>
      </c>
      <c r="E96" s="1462" t="s">
        <v>423</v>
      </c>
      <c r="F96" s="1462" t="s">
        <v>424</v>
      </c>
      <c r="G96" s="1462" t="s">
        <v>425</v>
      </c>
      <c r="H96" s="1496"/>
    </row>
    <row r="97" spans="2:18" ht="15" customHeight="1" thickBot="1">
      <c r="B97" s="1495"/>
      <c r="C97" s="1463"/>
      <c r="D97" s="1463"/>
      <c r="E97" s="1463"/>
      <c r="F97" s="1463"/>
      <c r="G97" s="270" t="s">
        <v>426</v>
      </c>
      <c r="H97" s="706" t="s">
        <v>427</v>
      </c>
    </row>
    <row r="98" spans="2:18" ht="15" customHeight="1">
      <c r="B98" s="707">
        <f>B86</f>
        <v>1</v>
      </c>
      <c r="C98" s="708" t="str">
        <f>C86</f>
        <v>Deposito Materia Pirma</v>
      </c>
      <c r="D98" s="709">
        <f t="shared" ref="D98:D103" si="11">F62</f>
        <v>922.32254047322544</v>
      </c>
      <c r="E98" s="710" t="s">
        <v>428</v>
      </c>
      <c r="F98" s="710" t="s">
        <v>429</v>
      </c>
      <c r="G98" s="709">
        <f>D98*0.03</f>
        <v>27.669676214196762</v>
      </c>
      <c r="H98" s="711">
        <f t="shared" ref="H98:H103" si="12">G98*60</f>
        <v>1660.1805728518057</v>
      </c>
    </row>
    <row r="99" spans="2:18" ht="15" customHeight="1">
      <c r="B99" s="701">
        <f t="shared" ref="B99:C103" si="13">B87</f>
        <v>2</v>
      </c>
      <c r="C99" s="702" t="str">
        <f t="shared" si="13"/>
        <v>Deposito producto terminado</v>
      </c>
      <c r="D99" s="703">
        <f t="shared" si="11"/>
        <v>1033.721201743462</v>
      </c>
      <c r="E99" s="699" t="s">
        <v>430</v>
      </c>
      <c r="F99" s="699" t="s">
        <v>431</v>
      </c>
      <c r="G99" s="690">
        <f>D99*0.02</f>
        <v>20.67442403486924</v>
      </c>
      <c r="H99" s="692">
        <f t="shared" si="12"/>
        <v>1240.4654420921545</v>
      </c>
    </row>
    <row r="100" spans="2:18" ht="15" customHeight="1">
      <c r="B100" s="701">
        <f t="shared" si="13"/>
        <v>3</v>
      </c>
      <c r="C100" s="702" t="str">
        <f t="shared" si="13"/>
        <v>Vestuario - Produccion</v>
      </c>
      <c r="D100" s="703">
        <f t="shared" si="11"/>
        <v>26.889599672971674</v>
      </c>
      <c r="E100" s="699" t="s">
        <v>430</v>
      </c>
      <c r="F100" s="699" t="s">
        <v>431</v>
      </c>
      <c r="G100" s="690">
        <f>D100*0.02</f>
        <v>0.53779199345943351</v>
      </c>
      <c r="H100" s="692">
        <f t="shared" si="12"/>
        <v>32.267519607566008</v>
      </c>
    </row>
    <row r="101" spans="2:18" ht="15" customHeight="1">
      <c r="B101" s="701">
        <f t="shared" si="13"/>
        <v>4</v>
      </c>
      <c r="C101" s="702" t="str">
        <f t="shared" si="13"/>
        <v>Recepcion - Baño hombres - Baño Mujeres</v>
      </c>
      <c r="D101" s="703">
        <f t="shared" si="11"/>
        <v>5.6423062334049821</v>
      </c>
      <c r="E101" s="699" t="s">
        <v>430</v>
      </c>
      <c r="F101" s="699" t="s">
        <v>431</v>
      </c>
      <c r="G101" s="690">
        <f>D101*0.02</f>
        <v>0.11284612466809964</v>
      </c>
      <c r="H101" s="692">
        <f t="shared" si="12"/>
        <v>6.7707674800859783</v>
      </c>
    </row>
    <row r="102" spans="2:18" ht="15" customHeight="1">
      <c r="B102" s="701">
        <f t="shared" si="13"/>
        <v>5</v>
      </c>
      <c r="C102" s="702" t="str">
        <f t="shared" si="13"/>
        <v>Oficina N°1 - Oficina N°2 - Oficina N°3 - Comedor</v>
      </c>
      <c r="D102" s="703">
        <f t="shared" si="11"/>
        <v>14.6261534361571</v>
      </c>
      <c r="E102" s="699" t="s">
        <v>430</v>
      </c>
      <c r="F102" s="699" t="s">
        <v>431</v>
      </c>
      <c r="G102" s="690">
        <f>D102*0.02</f>
        <v>0.29252306872314199</v>
      </c>
      <c r="H102" s="692">
        <f t="shared" si="12"/>
        <v>17.551384123388519</v>
      </c>
    </row>
    <row r="103" spans="2:18" ht="15" customHeight="1" thickBot="1">
      <c r="B103" s="712">
        <f t="shared" si="13"/>
        <v>6</v>
      </c>
      <c r="C103" s="713" t="str">
        <f t="shared" si="13"/>
        <v>Pañol</v>
      </c>
      <c r="D103" s="714">
        <f t="shared" si="11"/>
        <v>5.129419191919192</v>
      </c>
      <c r="E103" s="700" t="s">
        <v>430</v>
      </c>
      <c r="F103" s="700" t="s">
        <v>431</v>
      </c>
      <c r="G103" s="693">
        <f>D103*0.02</f>
        <v>0.10258838383838384</v>
      </c>
      <c r="H103" s="695">
        <f t="shared" si="12"/>
        <v>6.1553030303030303</v>
      </c>
    </row>
    <row r="105" spans="2:18" s="614" customFormat="1" ht="28.9" customHeight="1">
      <c r="B105" s="1468" t="s">
        <v>432</v>
      </c>
      <c r="C105" s="1468"/>
      <c r="D105" s="1468"/>
      <c r="E105" s="1468"/>
      <c r="F105" s="623"/>
      <c r="G105" s="623"/>
      <c r="H105" s="623"/>
      <c r="I105" s="623"/>
      <c r="L105" s="617"/>
      <c r="R105" s="624"/>
    </row>
    <row r="106" spans="2:18" ht="15" customHeight="1" thickBot="1"/>
    <row r="107" spans="2:18" ht="15" customHeight="1" thickBot="1">
      <c r="B107" s="1332" t="s">
        <v>372</v>
      </c>
      <c r="C107" s="1327" t="s">
        <v>177</v>
      </c>
      <c r="D107" s="1327" t="s">
        <v>374</v>
      </c>
      <c r="E107" s="1327" t="s">
        <v>433</v>
      </c>
      <c r="F107" s="1336" t="s">
        <v>434</v>
      </c>
      <c r="H107" s="1485" t="s">
        <v>435</v>
      </c>
      <c r="I107" s="1486"/>
      <c r="J107" s="1486"/>
      <c r="K107" s="1486"/>
      <c r="L107" s="1486"/>
      <c r="M107" s="1487"/>
    </row>
    <row r="108" spans="2:18" ht="15" customHeight="1" thickBot="1">
      <c r="B108" s="688">
        <f>B98</f>
        <v>1</v>
      </c>
      <c r="C108" s="689" t="str">
        <f>C98</f>
        <v>Deposito Materia Pirma</v>
      </c>
      <c r="D108" s="690">
        <f t="shared" ref="D108:D113" si="14">F62</f>
        <v>922.32254047322544</v>
      </c>
      <c r="E108" s="691">
        <v>3</v>
      </c>
      <c r="F108" s="692" t="s">
        <v>436</v>
      </c>
      <c r="H108" s="1339" t="s">
        <v>437</v>
      </c>
      <c r="I108" s="276" t="s">
        <v>438</v>
      </c>
      <c r="J108" s="276" t="s">
        <v>439</v>
      </c>
      <c r="K108" s="276" t="s">
        <v>440</v>
      </c>
      <c r="L108" s="276" t="s">
        <v>441</v>
      </c>
      <c r="M108" s="1351" t="s">
        <v>442</v>
      </c>
    </row>
    <row r="109" spans="2:18" ht="15" customHeight="1">
      <c r="B109" s="688">
        <f t="shared" ref="B109:C113" si="15">B99</f>
        <v>2</v>
      </c>
      <c r="C109" s="689" t="str">
        <f t="shared" si="15"/>
        <v>Deposito producto terminado</v>
      </c>
      <c r="D109" s="690">
        <f t="shared" si="14"/>
        <v>1033.721201743462</v>
      </c>
      <c r="E109" s="691">
        <v>3</v>
      </c>
      <c r="F109" s="692" t="s">
        <v>436</v>
      </c>
      <c r="H109" s="132" t="s">
        <v>443</v>
      </c>
      <c r="I109" s="131" t="s">
        <v>249</v>
      </c>
      <c r="J109" s="131" t="s">
        <v>444</v>
      </c>
      <c r="K109" s="131" t="s">
        <v>445</v>
      </c>
      <c r="L109" s="131" t="s">
        <v>445</v>
      </c>
      <c r="M109" s="45" t="s">
        <v>249</v>
      </c>
    </row>
    <row r="110" spans="2:18" ht="15" customHeight="1">
      <c r="B110" s="688">
        <f t="shared" si="15"/>
        <v>3</v>
      </c>
      <c r="C110" s="689" t="str">
        <f t="shared" si="15"/>
        <v>Vestuario - Produccion</v>
      </c>
      <c r="D110" s="690">
        <f t="shared" si="14"/>
        <v>26.889599672971674</v>
      </c>
      <c r="E110" s="691">
        <v>3</v>
      </c>
      <c r="F110" s="692" t="s">
        <v>446</v>
      </c>
      <c r="H110" s="124" t="s">
        <v>447</v>
      </c>
      <c r="I110" s="1360" t="s">
        <v>249</v>
      </c>
      <c r="J110" s="1360" t="s">
        <v>446</v>
      </c>
      <c r="K110" s="1360" t="s">
        <v>444</v>
      </c>
      <c r="L110" s="1360" t="s">
        <v>445</v>
      </c>
      <c r="M110" s="4" t="s">
        <v>445</v>
      </c>
    </row>
    <row r="111" spans="2:18" ht="15" customHeight="1">
      <c r="B111" s="688">
        <f t="shared" si="15"/>
        <v>4</v>
      </c>
      <c r="C111" s="689" t="str">
        <f t="shared" si="15"/>
        <v>Recepcion - Baño hombres - Baño Mujeres</v>
      </c>
      <c r="D111" s="690">
        <f t="shared" si="14"/>
        <v>5.6423062334049821</v>
      </c>
      <c r="E111" s="691">
        <v>3</v>
      </c>
      <c r="F111" s="692" t="s">
        <v>445</v>
      </c>
      <c r="H111" s="124" t="s">
        <v>448</v>
      </c>
      <c r="I111" s="1360" t="s">
        <v>249</v>
      </c>
      <c r="J111" s="1360" t="s">
        <v>449</v>
      </c>
      <c r="K111" s="1360" t="s">
        <v>446</v>
      </c>
      <c r="L111" s="1360" t="s">
        <v>444</v>
      </c>
      <c r="M111" s="4" t="s">
        <v>445</v>
      </c>
    </row>
    <row r="112" spans="2:18" ht="15" customHeight="1">
      <c r="B112" s="688">
        <f t="shared" si="15"/>
        <v>5</v>
      </c>
      <c r="C112" s="689" t="str">
        <f t="shared" si="15"/>
        <v>Oficina N°1 - Oficina N°2 - Oficina N°3 - Comedor</v>
      </c>
      <c r="D112" s="690">
        <f t="shared" si="14"/>
        <v>14.6261534361571</v>
      </c>
      <c r="E112" s="691">
        <v>3</v>
      </c>
      <c r="F112" s="692" t="s">
        <v>445</v>
      </c>
      <c r="H112" s="124" t="s">
        <v>450</v>
      </c>
      <c r="I112" s="1360" t="s">
        <v>249</v>
      </c>
      <c r="J112" s="1360" t="s">
        <v>436</v>
      </c>
      <c r="K112" s="1360" t="s">
        <v>449</v>
      </c>
      <c r="L112" s="1360" t="s">
        <v>446</v>
      </c>
      <c r="M112" s="4" t="s">
        <v>444</v>
      </c>
    </row>
    <row r="113" spans="2:18" ht="15" customHeight="1" thickBot="1">
      <c r="B113" s="697">
        <f t="shared" si="15"/>
        <v>6</v>
      </c>
      <c r="C113" s="698" t="str">
        <f t="shared" si="15"/>
        <v>Pañol</v>
      </c>
      <c r="D113" s="693">
        <f t="shared" si="14"/>
        <v>5.129419191919192</v>
      </c>
      <c r="E113" s="694">
        <v>3</v>
      </c>
      <c r="F113" s="695" t="s">
        <v>445</v>
      </c>
      <c r="H113" s="125" t="s">
        <v>451</v>
      </c>
      <c r="I113" s="1367" t="s">
        <v>249</v>
      </c>
      <c r="J113" s="1367" t="s">
        <v>436</v>
      </c>
      <c r="K113" s="1367" t="s">
        <v>436</v>
      </c>
      <c r="L113" s="1367" t="s">
        <v>449</v>
      </c>
      <c r="M113" s="5" t="s">
        <v>446</v>
      </c>
    </row>
    <row r="115" spans="2:18" s="614" customFormat="1" ht="28.9" customHeight="1">
      <c r="B115" s="1468" t="s">
        <v>452</v>
      </c>
      <c r="C115" s="1468"/>
      <c r="D115" s="1468"/>
      <c r="E115" s="1468"/>
      <c r="F115" s="623"/>
      <c r="G115" s="623"/>
      <c r="H115" s="623"/>
      <c r="I115" s="623"/>
      <c r="L115" s="617"/>
      <c r="R115" s="624"/>
    </row>
    <row r="116" spans="2:18" ht="15" customHeight="1" thickBot="1"/>
    <row r="117" spans="2:18" ht="15" customHeight="1" thickBot="1">
      <c r="B117" s="1006" t="s">
        <v>453</v>
      </c>
      <c r="C117" s="1006" t="s">
        <v>227</v>
      </c>
      <c r="D117" s="1006" t="s">
        <v>226</v>
      </c>
      <c r="E117" s="1006" t="s">
        <v>228</v>
      </c>
    </row>
    <row r="118" spans="2:18" ht="28.9">
      <c r="B118" s="1007" t="s">
        <v>454</v>
      </c>
      <c r="C118" s="1329">
        <v>12</v>
      </c>
      <c r="D118" s="1008">
        <v>78677</v>
      </c>
      <c r="E118" s="1009">
        <f>PRODUCT(C118:D118)</f>
        <v>944124</v>
      </c>
    </row>
    <row r="119" spans="2:18" ht="15" customHeight="1">
      <c r="B119" s="747" t="s">
        <v>455</v>
      </c>
      <c r="C119" s="1307">
        <v>4</v>
      </c>
      <c r="D119" s="165">
        <v>17175</v>
      </c>
      <c r="E119" s="748">
        <f t="shared" ref="E119:E127" si="16">PRODUCT(C119:D119)</f>
        <v>68700</v>
      </c>
    </row>
    <row r="120" spans="2:18" ht="28.9">
      <c r="B120" s="747" t="s">
        <v>456</v>
      </c>
      <c r="C120" s="1307">
        <v>4</v>
      </c>
      <c r="D120" s="165">
        <v>58000</v>
      </c>
      <c r="E120" s="748">
        <f t="shared" si="16"/>
        <v>232000</v>
      </c>
    </row>
    <row r="121" spans="2:18" ht="28.9">
      <c r="B121" s="747" t="s">
        <v>457</v>
      </c>
      <c r="C121" s="1307">
        <v>4</v>
      </c>
      <c r="D121" s="165">
        <v>289550</v>
      </c>
      <c r="E121" s="748">
        <f t="shared" si="16"/>
        <v>1158200</v>
      </c>
    </row>
    <row r="122" spans="2:18" ht="14.45">
      <c r="B122" s="747" t="s">
        <v>458</v>
      </c>
      <c r="C122" s="1307">
        <v>75</v>
      </c>
      <c r="D122" s="165">
        <v>81390</v>
      </c>
      <c r="E122" s="748">
        <f t="shared" si="16"/>
        <v>6104250</v>
      </c>
    </row>
    <row r="123" spans="2:18" ht="14.45">
      <c r="B123" s="747" t="s">
        <v>459</v>
      </c>
      <c r="C123" s="1307"/>
      <c r="D123" s="165">
        <v>54297</v>
      </c>
      <c r="E123" s="748"/>
    </row>
    <row r="124" spans="2:18" ht="14.45">
      <c r="B124" s="747"/>
      <c r="C124" s="1307"/>
      <c r="D124" s="165"/>
      <c r="E124" s="748"/>
    </row>
    <row r="125" spans="2:18" ht="14.45">
      <c r="B125" s="747" t="s">
        <v>460</v>
      </c>
      <c r="C125" s="1307">
        <v>12</v>
      </c>
      <c r="D125" s="165">
        <v>22500</v>
      </c>
      <c r="E125" s="748">
        <f t="shared" si="16"/>
        <v>270000</v>
      </c>
    </row>
    <row r="126" spans="2:18" ht="14.45">
      <c r="B126" s="747" t="s">
        <v>461</v>
      </c>
      <c r="C126" s="1307">
        <v>4</v>
      </c>
      <c r="D126" s="165">
        <v>125000</v>
      </c>
      <c r="E126" s="748">
        <f t="shared" si="16"/>
        <v>500000</v>
      </c>
    </row>
    <row r="127" spans="2:18" thickBot="1">
      <c r="B127" s="1035" t="s">
        <v>462</v>
      </c>
      <c r="C127" s="1330">
        <v>1</v>
      </c>
      <c r="D127" s="1036">
        <v>1345000</v>
      </c>
      <c r="E127" s="1037">
        <f t="shared" si="16"/>
        <v>1345000</v>
      </c>
    </row>
    <row r="128" spans="2:18" ht="15" customHeight="1">
      <c r="B128" s="1458" t="s">
        <v>147</v>
      </c>
      <c r="C128" s="1459"/>
      <c r="D128" s="1459"/>
      <c r="E128" s="1076">
        <f>SUM(E118:E125)</f>
        <v>8777274</v>
      </c>
    </row>
    <row r="129" spans="2:5" ht="15" customHeight="1">
      <c r="B129" s="1454" t="s">
        <v>463</v>
      </c>
      <c r="C129" s="1455"/>
      <c r="D129" s="1455"/>
      <c r="E129" s="1042">
        <v>1002.5</v>
      </c>
    </row>
    <row r="130" spans="2:5" ht="15" customHeight="1" thickBot="1">
      <c r="B130" s="1456" t="s">
        <v>232</v>
      </c>
      <c r="C130" s="1457"/>
      <c r="D130" s="1457"/>
      <c r="E130" s="1044">
        <f>E128/E129</f>
        <v>8755.3855361596015</v>
      </c>
    </row>
  </sheetData>
  <mergeCells count="117">
    <mergeCell ref="L17:L23"/>
    <mergeCell ref="B24:B29"/>
    <mergeCell ref="C24:C29"/>
    <mergeCell ref="D24:D29"/>
    <mergeCell ref="E24:E29"/>
    <mergeCell ref="F24:F29"/>
    <mergeCell ref="L24:L29"/>
    <mergeCell ref="B4:E4"/>
    <mergeCell ref="B14:E14"/>
    <mergeCell ref="B17:B23"/>
    <mergeCell ref="C17:C23"/>
    <mergeCell ref="D17:D23"/>
    <mergeCell ref="E17:E23"/>
    <mergeCell ref="F17:F23"/>
    <mergeCell ref="B32:B36"/>
    <mergeCell ref="C32:C36"/>
    <mergeCell ref="D32:D36"/>
    <mergeCell ref="E32:E36"/>
    <mergeCell ref="F32:F36"/>
    <mergeCell ref="L32:L36"/>
    <mergeCell ref="B30:B31"/>
    <mergeCell ref="C30:C31"/>
    <mergeCell ref="D30:D31"/>
    <mergeCell ref="E30:E31"/>
    <mergeCell ref="F30:F31"/>
    <mergeCell ref="L30:L31"/>
    <mergeCell ref="B39:B40"/>
    <mergeCell ref="C39:C40"/>
    <mergeCell ref="D39:D40"/>
    <mergeCell ref="E39:E40"/>
    <mergeCell ref="F39:F40"/>
    <mergeCell ref="L39:L40"/>
    <mergeCell ref="B37:B38"/>
    <mergeCell ref="C37:C38"/>
    <mergeCell ref="D37:D38"/>
    <mergeCell ref="E37:E38"/>
    <mergeCell ref="F37:F38"/>
    <mergeCell ref="L37:L38"/>
    <mergeCell ref="B43:B45"/>
    <mergeCell ref="C43:C45"/>
    <mergeCell ref="D43:D45"/>
    <mergeCell ref="E43:E45"/>
    <mergeCell ref="F43:F45"/>
    <mergeCell ref="L43:L45"/>
    <mergeCell ref="B41:B42"/>
    <mergeCell ref="C41:C42"/>
    <mergeCell ref="D41:D42"/>
    <mergeCell ref="E41:E42"/>
    <mergeCell ref="F41:F42"/>
    <mergeCell ref="L41:L42"/>
    <mergeCell ref="B49:B51"/>
    <mergeCell ref="C49:C51"/>
    <mergeCell ref="D49:D51"/>
    <mergeCell ref="E49:E51"/>
    <mergeCell ref="F49:F51"/>
    <mergeCell ref="L49:L51"/>
    <mergeCell ref="B46:B48"/>
    <mergeCell ref="C46:C48"/>
    <mergeCell ref="D46:D48"/>
    <mergeCell ref="E46:E48"/>
    <mergeCell ref="F46:F48"/>
    <mergeCell ref="L46:L48"/>
    <mergeCell ref="B59:E59"/>
    <mergeCell ref="B69:E69"/>
    <mergeCell ref="B56:B57"/>
    <mergeCell ref="C56:C57"/>
    <mergeCell ref="D56:D57"/>
    <mergeCell ref="E56:E57"/>
    <mergeCell ref="F56:F57"/>
    <mergeCell ref="L56:L57"/>
    <mergeCell ref="B52:B55"/>
    <mergeCell ref="C52:C55"/>
    <mergeCell ref="D52:D55"/>
    <mergeCell ref="E52:E55"/>
    <mergeCell ref="F52:F55"/>
    <mergeCell ref="L52:L55"/>
    <mergeCell ref="R71:W71"/>
    <mergeCell ref="R72:R74"/>
    <mergeCell ref="S72:W72"/>
    <mergeCell ref="S79:W79"/>
    <mergeCell ref="S73:S74"/>
    <mergeCell ref="T73:T74"/>
    <mergeCell ref="U73:U74"/>
    <mergeCell ref="V73:V74"/>
    <mergeCell ref="W73:W74"/>
    <mergeCell ref="K72:K74"/>
    <mergeCell ref="K71:P71"/>
    <mergeCell ref="B81:E81"/>
    <mergeCell ref="B84:B85"/>
    <mergeCell ref="C84:C85"/>
    <mergeCell ref="D84:D85"/>
    <mergeCell ref="E84:E85"/>
    <mergeCell ref="F84:F85"/>
    <mergeCell ref="P73:P74"/>
    <mergeCell ref="O73:O74"/>
    <mergeCell ref="N73:N74"/>
    <mergeCell ref="M73:M74"/>
    <mergeCell ref="L73:L74"/>
    <mergeCell ref="L72:P72"/>
    <mergeCell ref="L79:P79"/>
    <mergeCell ref="B83:I83"/>
    <mergeCell ref="B129:D129"/>
    <mergeCell ref="B130:D130"/>
    <mergeCell ref="B115:E115"/>
    <mergeCell ref="B128:D128"/>
    <mergeCell ref="B105:E105"/>
    <mergeCell ref="H107:M107"/>
    <mergeCell ref="H84:I85"/>
    <mergeCell ref="G84:G85"/>
    <mergeCell ref="B93:E93"/>
    <mergeCell ref="B95:H95"/>
    <mergeCell ref="B96:B97"/>
    <mergeCell ref="C96:C97"/>
    <mergeCell ref="D96:D97"/>
    <mergeCell ref="E96:E97"/>
    <mergeCell ref="F96:F97"/>
    <mergeCell ref="G96:H96"/>
  </mergeCells>
  <hyperlinks>
    <hyperlink ref="C2" location="Indice!A1" display="INICIO" xr:uid="{00000000-0004-0000-0900-000000000000}"/>
  </hyperlink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B1:Y35"/>
  <sheetViews>
    <sheetView showGridLines="0" zoomScale="85" zoomScaleNormal="85" zoomScaleSheetLayoutView="50" workbookViewId="0">
      <selection activeCell="C15" sqref="C15"/>
    </sheetView>
  </sheetViews>
  <sheetFormatPr defaultColWidth="11.5703125" defaultRowHeight="15" customHeight="1"/>
  <cols>
    <col min="1" max="1" width="8.7109375" customWidth="1"/>
    <col min="2" max="2" width="27.85546875" style="134" bestFit="1" customWidth="1"/>
    <col min="3" max="3" width="25.28515625" style="134" customWidth="1"/>
    <col min="4" max="4" width="11.85546875" style="134" bestFit="1" customWidth="1"/>
    <col min="5" max="5" width="15.140625" style="134" bestFit="1" customWidth="1"/>
    <col min="6" max="6" width="18.42578125" style="134" bestFit="1" customWidth="1"/>
    <col min="7" max="11" width="11.5703125" style="134"/>
    <col min="12" max="12" width="11.5703125" style="122"/>
    <col min="13" max="18" width="11.5703125" style="134"/>
    <col min="19" max="19" width="34.140625" style="134" bestFit="1" customWidth="1"/>
    <col min="20" max="21" width="11.5703125" style="134"/>
    <col min="22" max="22" width="18.42578125" style="134" bestFit="1" customWidth="1"/>
    <col min="23" max="25" width="11.5703125" style="134"/>
  </cols>
  <sheetData>
    <row r="1" spans="2:25" ht="15" customHeight="1">
      <c r="B1" s="41"/>
      <c r="C1" s="41"/>
      <c r="D1" s="41"/>
      <c r="E1" s="41"/>
      <c r="F1" s="41"/>
      <c r="G1" s="41"/>
      <c r="H1" s="41"/>
      <c r="I1" s="41"/>
      <c r="J1" s="41"/>
      <c r="K1" s="41"/>
      <c r="L1" s="1346"/>
      <c r="M1" s="41"/>
      <c r="N1" s="41"/>
      <c r="O1" s="41"/>
      <c r="P1" s="180"/>
      <c r="Q1" s="180"/>
      <c r="R1" s="180"/>
      <c r="S1"/>
      <c r="T1"/>
      <c r="U1"/>
      <c r="V1"/>
      <c r="W1"/>
      <c r="X1"/>
      <c r="Y1"/>
    </row>
    <row r="2" spans="2:25" ht="15" customHeight="1">
      <c r="B2" s="1346" t="s">
        <v>126</v>
      </c>
      <c r="C2" s="338" t="s">
        <v>49</v>
      </c>
      <c r="D2" s="41"/>
      <c r="E2" s="41"/>
      <c r="F2" s="41"/>
      <c r="G2" s="41"/>
      <c r="H2" s="41"/>
      <c r="I2" s="41"/>
      <c r="J2"/>
      <c r="K2"/>
      <c r="L2" s="1305"/>
      <c r="M2"/>
      <c r="N2"/>
      <c r="O2"/>
      <c r="P2"/>
      <c r="Q2"/>
      <c r="R2" s="180"/>
      <c r="S2"/>
      <c r="T2"/>
      <c r="U2"/>
      <c r="V2"/>
      <c r="W2"/>
      <c r="X2"/>
      <c r="Y2"/>
    </row>
    <row r="3" spans="2:25" ht="15" customHeight="1" thickBot="1">
      <c r="C3"/>
      <c r="D3"/>
      <c r="E3"/>
      <c r="F3"/>
      <c r="H3"/>
      <c r="I3"/>
    </row>
    <row r="4" spans="2:25" ht="18" customHeight="1" thickBot="1">
      <c r="B4" s="1538" t="s">
        <v>464</v>
      </c>
      <c r="C4" s="1539"/>
      <c r="D4" s="1540"/>
      <c r="E4"/>
      <c r="F4"/>
      <c r="H4"/>
      <c r="I4"/>
    </row>
    <row r="5" spans="2:25" ht="29.45" thickBot="1">
      <c r="B5" s="1333" t="s">
        <v>372</v>
      </c>
      <c r="C5" s="1334" t="s">
        <v>465</v>
      </c>
      <c r="D5" s="1335" t="s">
        <v>466</v>
      </c>
      <c r="E5" s="41"/>
      <c r="F5" s="41"/>
      <c r="H5" s="41"/>
      <c r="I5" s="41"/>
    </row>
    <row r="6" spans="2:25" ht="15" customHeight="1">
      <c r="B6" s="128" t="s">
        <v>467</v>
      </c>
      <c r="C6" s="758" t="s">
        <v>468</v>
      </c>
      <c r="D6" s="22"/>
      <c r="E6"/>
      <c r="F6"/>
      <c r="H6"/>
      <c r="I6"/>
    </row>
    <row r="7" spans="2:25" ht="15" customHeight="1">
      <c r="B7" s="51" t="s">
        <v>469</v>
      </c>
      <c r="C7" s="616" t="s">
        <v>468</v>
      </c>
      <c r="D7" s="4"/>
      <c r="E7"/>
      <c r="F7"/>
      <c r="H7"/>
      <c r="I7"/>
    </row>
    <row r="8" spans="2:25" ht="15" customHeight="1">
      <c r="B8" s="51" t="s">
        <v>207</v>
      </c>
      <c r="C8" s="616" t="s">
        <v>468</v>
      </c>
      <c r="D8" s="4"/>
      <c r="E8"/>
      <c r="F8"/>
      <c r="H8"/>
      <c r="I8"/>
    </row>
    <row r="9" spans="2:25" ht="15" customHeight="1" thickBot="1">
      <c r="B9" s="32" t="s">
        <v>218</v>
      </c>
      <c r="C9" s="615"/>
      <c r="D9" s="5" t="s">
        <v>468</v>
      </c>
      <c r="E9"/>
      <c r="F9"/>
      <c r="H9"/>
      <c r="I9"/>
    </row>
    <row r="10" spans="2:25" ht="15" customHeight="1">
      <c r="B10"/>
      <c r="C10"/>
      <c r="D10" s="613"/>
      <c r="E10"/>
      <c r="F10"/>
      <c r="H10"/>
      <c r="I10"/>
    </row>
    <row r="11" spans="2:25" s="614" customFormat="1" ht="28.9" customHeight="1">
      <c r="B11" s="1468" t="s">
        <v>470</v>
      </c>
      <c r="C11" s="1468"/>
      <c r="D11" s="1468"/>
      <c r="E11" s="1468"/>
      <c r="F11" s="623"/>
      <c r="G11" s="623"/>
      <c r="H11" s="623"/>
      <c r="I11" s="623"/>
      <c r="L11" s="617"/>
      <c r="R11" s="624"/>
    </row>
    <row r="12" spans="2:25" ht="15" customHeight="1" thickBot="1">
      <c r="B12"/>
      <c r="C12"/>
      <c r="D12" s="613"/>
      <c r="E12"/>
      <c r="F12"/>
      <c r="H12"/>
      <c r="I12"/>
    </row>
    <row r="13" spans="2:25" ht="15" customHeight="1" thickBot="1">
      <c r="B13" s="1472" t="s">
        <v>471</v>
      </c>
      <c r="C13" s="1473"/>
      <c r="D13" s="1473"/>
      <c r="E13" s="1473"/>
      <c r="F13" s="1474"/>
      <c r="H13"/>
      <c r="I13"/>
    </row>
    <row r="14" spans="2:25" ht="15" customHeight="1" thickBot="1">
      <c r="B14" s="1341" t="s">
        <v>237</v>
      </c>
      <c r="C14" s="1342" t="s">
        <v>472</v>
      </c>
      <c r="D14" s="743" t="s">
        <v>473</v>
      </c>
      <c r="E14" s="743" t="s">
        <v>474</v>
      </c>
      <c r="F14" s="744" t="s">
        <v>475</v>
      </c>
      <c r="H14"/>
      <c r="I14"/>
    </row>
    <row r="15" spans="2:25" ht="15" customHeight="1">
      <c r="B15" s="130" t="s">
        <v>351</v>
      </c>
      <c r="C15" s="258">
        <v>7.3</v>
      </c>
      <c r="D15" s="741">
        <v>8</v>
      </c>
      <c r="E15" s="741">
        <v>10</v>
      </c>
      <c r="F15" s="742">
        <f>C15*D15*E15</f>
        <v>584</v>
      </c>
      <c r="H15"/>
      <c r="I15"/>
    </row>
    <row r="16" spans="2:25" ht="15" customHeight="1">
      <c r="B16" s="51" t="s">
        <v>469</v>
      </c>
      <c r="C16" s="1307">
        <v>7.3</v>
      </c>
      <c r="D16" s="612">
        <v>9.6</v>
      </c>
      <c r="E16" s="612">
        <v>10</v>
      </c>
      <c r="F16" s="1310">
        <f>C16*D16*E16</f>
        <v>700.8</v>
      </c>
      <c r="H16"/>
      <c r="I16"/>
    </row>
    <row r="17" spans="2:18" ht="15" customHeight="1">
      <c r="B17" s="51" t="s">
        <v>207</v>
      </c>
      <c r="C17" s="1307">
        <v>19.600000000000001</v>
      </c>
      <c r="D17" s="612">
        <v>20.399999999999999</v>
      </c>
      <c r="E17" s="612">
        <v>10</v>
      </c>
      <c r="F17" s="1310">
        <f>C17*D17*E17</f>
        <v>3998.3999999999996</v>
      </c>
      <c r="H17"/>
      <c r="I17"/>
    </row>
    <row r="18" spans="2:18" ht="15" customHeight="1" thickBot="1">
      <c r="B18" s="1541" t="s">
        <v>476</v>
      </c>
      <c r="C18" s="1542"/>
      <c r="D18" s="1542"/>
      <c r="E18" s="1543"/>
      <c r="F18" s="29">
        <f>SUM(F15:F17)</f>
        <v>5283.2</v>
      </c>
      <c r="H18"/>
      <c r="I18"/>
    </row>
    <row r="19" spans="2:18" ht="15" customHeight="1" thickBot="1">
      <c r="B19" s="746"/>
      <c r="C19" s="746"/>
      <c r="D19" s="746"/>
      <c r="E19" s="746"/>
      <c r="F19" s="745"/>
      <c r="H19"/>
      <c r="I19"/>
    </row>
    <row r="20" spans="2:18" ht="15" customHeight="1" thickBot="1">
      <c r="B20" s="753" t="s">
        <v>477</v>
      </c>
      <c r="C20" s="752">
        <f>F18*5</f>
        <v>26416</v>
      </c>
      <c r="D20" s="746"/>
      <c r="E20" s="746"/>
      <c r="F20" s="745"/>
      <c r="H20"/>
      <c r="I20"/>
    </row>
    <row r="21" spans="2:18" ht="15" customHeight="1" thickBot="1">
      <c r="B21" s="754"/>
      <c r="C21" s="746"/>
      <c r="D21" s="746"/>
      <c r="E21" s="746"/>
      <c r="F21" s="745"/>
      <c r="H21"/>
      <c r="I21"/>
    </row>
    <row r="22" spans="2:18" ht="15" customHeight="1" thickBot="1">
      <c r="B22" s="753" t="s">
        <v>478</v>
      </c>
      <c r="C22" s="756">
        <v>3360</v>
      </c>
      <c r="D22" s="746"/>
      <c r="E22" s="746"/>
      <c r="F22" s="745"/>
      <c r="H22"/>
      <c r="I22"/>
    </row>
    <row r="23" spans="2:18" ht="15" customHeight="1" thickBot="1">
      <c r="B23" s="754"/>
      <c r="C23" s="755"/>
      <c r="D23" s="746"/>
      <c r="E23" s="746"/>
      <c r="F23" s="745"/>
      <c r="H23"/>
      <c r="I23"/>
    </row>
    <row r="24" spans="2:18" ht="15" customHeight="1" thickBot="1">
      <c r="B24" s="753" t="s">
        <v>479</v>
      </c>
      <c r="C24" s="757">
        <f>C20/C22</f>
        <v>7.8619047619047615</v>
      </c>
      <c r="D24" s="746"/>
      <c r="E24" s="746"/>
      <c r="F24" s="745"/>
      <c r="H24"/>
      <c r="I24"/>
    </row>
    <row r="25" spans="2:18" ht="15" customHeight="1">
      <c r="B25" s="746"/>
      <c r="C25" s="746"/>
      <c r="D25" s="746"/>
      <c r="E25" s="746"/>
      <c r="F25" s="745"/>
      <c r="H25"/>
      <c r="I25"/>
    </row>
    <row r="26" spans="2:18" s="614" customFormat="1" ht="28.9" customHeight="1">
      <c r="B26" s="1468" t="s">
        <v>480</v>
      </c>
      <c r="C26" s="1468"/>
      <c r="D26" s="1468"/>
      <c r="E26" s="1468"/>
      <c r="F26" s="623"/>
      <c r="G26" s="623"/>
      <c r="H26" s="623"/>
      <c r="I26" s="623"/>
      <c r="L26" s="617"/>
      <c r="R26" s="624"/>
    </row>
    <row r="27" spans="2:18" ht="15" customHeight="1" thickBot="1">
      <c r="B27"/>
      <c r="C27"/>
      <c r="D27"/>
      <c r="E27"/>
      <c r="F27"/>
      <c r="H27"/>
      <c r="I27"/>
    </row>
    <row r="28" spans="2:18" ht="15" customHeight="1" thickBot="1">
      <c r="B28" s="1469" t="s">
        <v>481</v>
      </c>
      <c r="C28" s="1470"/>
      <c r="D28" s="1470"/>
      <c r="E28" s="1471"/>
      <c r="F28"/>
      <c r="H28"/>
      <c r="I28"/>
    </row>
    <row r="29" spans="2:18" ht="15" customHeight="1" thickBot="1">
      <c r="B29" s="759" t="s">
        <v>225</v>
      </c>
      <c r="C29" s="760" t="s">
        <v>482</v>
      </c>
      <c r="D29" s="760" t="s">
        <v>483</v>
      </c>
      <c r="E29" s="761" t="s">
        <v>484</v>
      </c>
      <c r="F29"/>
      <c r="H29"/>
      <c r="I29"/>
    </row>
    <row r="30" spans="2:18" ht="15" customHeight="1">
      <c r="B30" s="1014" t="s">
        <v>485</v>
      </c>
      <c r="C30" s="1015">
        <v>326000</v>
      </c>
      <c r="D30" s="1016">
        <v>15</v>
      </c>
      <c r="E30" s="1038">
        <f>C30*D30</f>
        <v>4890000</v>
      </c>
      <c r="F30"/>
      <c r="H30"/>
      <c r="I30"/>
    </row>
    <row r="31" spans="2:18" ht="15" customHeight="1">
      <c r="B31" s="1010" t="s">
        <v>486</v>
      </c>
      <c r="C31" s="999">
        <v>238648</v>
      </c>
      <c r="D31" s="573">
        <v>1</v>
      </c>
      <c r="E31" s="1039">
        <f>C31*D31</f>
        <v>238648</v>
      </c>
      <c r="F31"/>
      <c r="H31"/>
      <c r="I31"/>
    </row>
    <row r="32" spans="2:18" ht="15" customHeight="1" thickBot="1">
      <c r="B32" s="1011" t="s">
        <v>487</v>
      </c>
      <c r="C32" s="762">
        <v>75000</v>
      </c>
      <c r="D32" s="763">
        <v>16</v>
      </c>
      <c r="E32" s="1040">
        <f>C32*D32</f>
        <v>1200000</v>
      </c>
      <c r="F32"/>
      <c r="H32"/>
      <c r="I32"/>
    </row>
    <row r="33" spans="2:9" ht="15" customHeight="1">
      <c r="B33" s="1536" t="s">
        <v>147</v>
      </c>
      <c r="C33" s="1537"/>
      <c r="D33" s="1537"/>
      <c r="E33" s="1102">
        <f>SUM(E30:E32)</f>
        <v>6328648</v>
      </c>
      <c r="F33"/>
      <c r="H33"/>
      <c r="I33"/>
    </row>
    <row r="34" spans="2:9" ht="15" customHeight="1">
      <c r="B34" s="1532" t="s">
        <v>488</v>
      </c>
      <c r="C34" s="1533"/>
      <c r="D34" s="1533"/>
      <c r="E34" s="286">
        <v>1002.5</v>
      </c>
      <c r="F34"/>
      <c r="G34"/>
      <c r="H34"/>
      <c r="I34"/>
    </row>
    <row r="35" spans="2:9" ht="15" customHeight="1" thickBot="1">
      <c r="B35" s="1534" t="s">
        <v>232</v>
      </c>
      <c r="C35" s="1535"/>
      <c r="D35" s="1535"/>
      <c r="E35" s="1058">
        <f>E33/E34</f>
        <v>6312.8658354114714</v>
      </c>
      <c r="F35"/>
      <c r="G35"/>
      <c r="H35"/>
      <c r="I35"/>
    </row>
  </sheetData>
  <mergeCells count="9">
    <mergeCell ref="B34:D34"/>
    <mergeCell ref="B35:D35"/>
    <mergeCell ref="B33:D33"/>
    <mergeCell ref="B4:D4"/>
    <mergeCell ref="B13:F13"/>
    <mergeCell ref="B18:E18"/>
    <mergeCell ref="B28:E28"/>
    <mergeCell ref="B11:E11"/>
    <mergeCell ref="B26:E26"/>
  </mergeCells>
  <hyperlinks>
    <hyperlink ref="C2" location="Indice!A1" display="INICIO" xr:uid="{00000000-0004-0000-0A00-000000000000}"/>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B2:E31"/>
  <sheetViews>
    <sheetView showGridLines="0" zoomScale="85" zoomScaleNormal="85" workbookViewId="0">
      <selection activeCell="C2" sqref="C2"/>
    </sheetView>
  </sheetViews>
  <sheetFormatPr defaultColWidth="11.42578125" defaultRowHeight="14.45"/>
  <cols>
    <col min="1" max="1" width="8.5703125" customWidth="1"/>
    <col min="2" max="2" width="25.42578125" customWidth="1"/>
    <col min="3" max="3" width="23.7109375" customWidth="1"/>
    <col min="4" max="4" width="19.28515625" customWidth="1"/>
    <col min="5" max="5" width="22.42578125" customWidth="1"/>
  </cols>
  <sheetData>
    <row r="2" spans="2:5">
      <c r="B2" s="1346" t="s">
        <v>126</v>
      </c>
      <c r="C2" s="338" t="s">
        <v>49</v>
      </c>
    </row>
    <row r="3" spans="2:5" ht="15" thickBot="1"/>
    <row r="4" spans="2:5">
      <c r="B4" s="1354" t="s">
        <v>489</v>
      </c>
      <c r="C4" s="1053" t="s">
        <v>490</v>
      </c>
    </row>
    <row r="5" spans="2:5">
      <c r="B5" s="1046" t="s">
        <v>364</v>
      </c>
      <c r="C5" s="1047">
        <v>2</v>
      </c>
    </row>
    <row r="6" spans="2:5">
      <c r="B6" s="1046" t="s">
        <v>491</v>
      </c>
      <c r="C6" s="1047">
        <v>2</v>
      </c>
    </row>
    <row r="7" spans="2:5">
      <c r="B7" s="1046" t="s">
        <v>204</v>
      </c>
      <c r="C7" s="1047">
        <v>10</v>
      </c>
    </row>
    <row r="8" spans="2:5" ht="15" thickBot="1">
      <c r="B8" s="1048" t="s">
        <v>492</v>
      </c>
      <c r="C8" s="1049">
        <v>1</v>
      </c>
    </row>
    <row r="9" spans="2:5" ht="15" thickBot="1">
      <c r="B9" s="1050" t="s">
        <v>147</v>
      </c>
      <c r="C9" s="1051">
        <v>15</v>
      </c>
    </row>
    <row r="10" spans="2:5" ht="15" thickBot="1"/>
    <row r="11" spans="2:5">
      <c r="B11" s="1354" t="s">
        <v>493</v>
      </c>
      <c r="C11" s="1052" t="s">
        <v>494</v>
      </c>
      <c r="D11" s="1052" t="s">
        <v>227</v>
      </c>
      <c r="E11" s="1053" t="s">
        <v>495</v>
      </c>
    </row>
    <row r="12" spans="2:5">
      <c r="B12" s="1054" t="s">
        <v>496</v>
      </c>
      <c r="C12" s="262">
        <v>1</v>
      </c>
      <c r="D12" s="262">
        <v>8</v>
      </c>
      <c r="E12" s="1047">
        <v>8</v>
      </c>
    </row>
    <row r="13" spans="2:5">
      <c r="B13" s="1054" t="s">
        <v>497</v>
      </c>
      <c r="C13" s="262">
        <v>11.4</v>
      </c>
      <c r="D13" s="262">
        <v>5</v>
      </c>
      <c r="E13" s="1047">
        <v>57</v>
      </c>
    </row>
    <row r="14" spans="2:5" ht="15" thickBot="1">
      <c r="B14" s="1055" t="s">
        <v>498</v>
      </c>
      <c r="C14" s="1056">
        <v>0.9</v>
      </c>
      <c r="D14" s="1056">
        <v>13</v>
      </c>
      <c r="E14" s="1049">
        <v>11.7</v>
      </c>
    </row>
    <row r="15" spans="2:5" ht="15" thickBot="1">
      <c r="B15" s="1544" t="s">
        <v>476</v>
      </c>
      <c r="C15" s="1545"/>
      <c r="D15" s="1545"/>
      <c r="E15" s="1051">
        <v>76.7</v>
      </c>
    </row>
    <row r="16" spans="2:5" ht="15" thickBot="1"/>
    <row r="17" spans="2:5" ht="15" thickBot="1">
      <c r="B17" s="1469" t="s">
        <v>499</v>
      </c>
      <c r="C17" s="1470"/>
      <c r="D17" s="1470"/>
      <c r="E17" s="1471"/>
    </row>
    <row r="18" spans="2:5" ht="15" thickBot="1">
      <c r="B18" s="1006" t="s">
        <v>453</v>
      </c>
      <c r="C18" s="1006" t="s">
        <v>227</v>
      </c>
      <c r="D18" s="1006" t="s">
        <v>226</v>
      </c>
      <c r="E18" s="1006" t="s">
        <v>228</v>
      </c>
    </row>
    <row r="19" spans="2:5">
      <c r="B19" s="1007" t="s">
        <v>500</v>
      </c>
      <c r="C19" s="1329">
        <v>1</v>
      </c>
      <c r="D19" s="1008">
        <v>5882000</v>
      </c>
      <c r="E19" s="1009">
        <f>PRODUCT(C19:D19)</f>
        <v>5882000</v>
      </c>
    </row>
    <row r="20" spans="2:5">
      <c r="B20" s="747" t="s">
        <v>501</v>
      </c>
      <c r="C20" s="1307">
        <v>1</v>
      </c>
      <c r="D20" s="165">
        <v>1990000</v>
      </c>
      <c r="E20" s="748">
        <f t="shared" ref="E20:E27" si="0">PRODUCT(C20:D20)</f>
        <v>1990000</v>
      </c>
    </row>
    <row r="21" spans="2:5">
      <c r="B21" s="747" t="s">
        <v>502</v>
      </c>
      <c r="C21" s="1307">
        <v>100</v>
      </c>
      <c r="D21" s="165">
        <v>1625</v>
      </c>
      <c r="E21" s="748">
        <f t="shared" si="0"/>
        <v>162500</v>
      </c>
    </row>
    <row r="22" spans="2:5">
      <c r="B22" s="747" t="s">
        <v>503</v>
      </c>
      <c r="C22" s="1307">
        <v>100</v>
      </c>
      <c r="D22" s="165">
        <v>1625</v>
      </c>
      <c r="E22" s="748">
        <f t="shared" si="0"/>
        <v>162500</v>
      </c>
    </row>
    <row r="23" spans="2:5">
      <c r="B23" s="1054" t="s">
        <v>496</v>
      </c>
      <c r="C23" s="262">
        <v>10</v>
      </c>
      <c r="D23" s="165">
        <v>4577</v>
      </c>
      <c r="E23" s="748">
        <f t="shared" si="0"/>
        <v>45770</v>
      </c>
    </row>
    <row r="24" spans="2:5">
      <c r="B24" s="1054" t="s">
        <v>497</v>
      </c>
      <c r="C24" s="262">
        <v>10</v>
      </c>
      <c r="D24" s="165">
        <v>14200</v>
      </c>
      <c r="E24" s="748">
        <f t="shared" si="0"/>
        <v>142000</v>
      </c>
    </row>
    <row r="25" spans="2:5">
      <c r="B25" s="1054" t="s">
        <v>498</v>
      </c>
      <c r="C25" s="262">
        <v>25</v>
      </c>
      <c r="D25" s="165">
        <v>10850</v>
      </c>
      <c r="E25" s="748">
        <f t="shared" si="0"/>
        <v>271250</v>
      </c>
    </row>
    <row r="26" spans="2:5">
      <c r="B26" s="747" t="s">
        <v>504</v>
      </c>
      <c r="C26" s="1307">
        <v>1</v>
      </c>
      <c r="D26" s="165">
        <v>156000</v>
      </c>
      <c r="E26" s="748">
        <f t="shared" si="0"/>
        <v>156000</v>
      </c>
    </row>
    <row r="27" spans="2:5">
      <c r="B27" s="747" t="s">
        <v>505</v>
      </c>
      <c r="C27" s="1307">
        <v>1</v>
      </c>
      <c r="D27" s="165">
        <v>4950000</v>
      </c>
      <c r="E27" s="748">
        <f t="shared" si="0"/>
        <v>4950000</v>
      </c>
    </row>
    <row r="28" spans="2:5" ht="15" thickBot="1">
      <c r="B28" s="1035" t="s">
        <v>506</v>
      </c>
      <c r="C28" s="1330">
        <v>200</v>
      </c>
      <c r="D28" s="1036">
        <v>33465</v>
      </c>
      <c r="E28" s="1037">
        <f>PRODUCT(C28:D28)</f>
        <v>6693000</v>
      </c>
    </row>
    <row r="29" spans="2:5">
      <c r="B29" s="1458" t="s">
        <v>147</v>
      </c>
      <c r="C29" s="1459"/>
      <c r="D29" s="1459"/>
      <c r="E29" s="1076">
        <f>SUM(E19:E28)</f>
        <v>20455020</v>
      </c>
    </row>
    <row r="30" spans="2:5">
      <c r="B30" s="1454" t="s">
        <v>463</v>
      </c>
      <c r="C30" s="1455"/>
      <c r="D30" s="1455"/>
      <c r="E30" s="1042">
        <v>1002.5</v>
      </c>
    </row>
    <row r="31" spans="2:5" ht="15" thickBot="1">
      <c r="B31" s="1456" t="s">
        <v>232</v>
      </c>
      <c r="C31" s="1457"/>
      <c r="D31" s="1457"/>
      <c r="E31" s="1044">
        <f>E29/E30</f>
        <v>20404.009975062345</v>
      </c>
    </row>
  </sheetData>
  <mergeCells count="5">
    <mergeCell ref="B29:D29"/>
    <mergeCell ref="B30:D30"/>
    <mergeCell ref="B31:D31"/>
    <mergeCell ref="B15:D15"/>
    <mergeCell ref="B17:E17"/>
  </mergeCells>
  <hyperlinks>
    <hyperlink ref="C2" location="Indice!A1" display="INICIO" xr:uid="{00000000-0004-0000-0B00-000000000000}"/>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B2:F37"/>
  <sheetViews>
    <sheetView showGridLines="0" zoomScale="85" zoomScaleNormal="85" workbookViewId="0">
      <selection activeCell="C2" sqref="C2"/>
    </sheetView>
  </sheetViews>
  <sheetFormatPr defaultColWidth="11.42578125" defaultRowHeight="14.45"/>
  <cols>
    <col min="1" max="1" width="6.7109375" customWidth="1"/>
    <col min="2" max="2" width="25.5703125" customWidth="1"/>
    <col min="3" max="3" width="14.7109375" customWidth="1"/>
    <col min="4" max="4" width="15.5703125" customWidth="1"/>
    <col min="5" max="5" width="19.7109375" customWidth="1"/>
    <col min="6" max="6" width="18.140625" customWidth="1"/>
  </cols>
  <sheetData>
    <row r="2" spans="2:6">
      <c r="B2" s="1346" t="s">
        <v>126</v>
      </c>
      <c r="C2" s="338" t="s">
        <v>49</v>
      </c>
    </row>
    <row r="3" spans="2:6" ht="15" thickBot="1"/>
    <row r="4" spans="2:6" ht="18.600000000000001" customHeight="1" thickBot="1">
      <c r="B4" s="1333" t="s">
        <v>279</v>
      </c>
      <c r="C4" s="1334" t="s">
        <v>507</v>
      </c>
      <c r="D4" s="1334" t="s">
        <v>508</v>
      </c>
      <c r="E4" s="1334" t="s">
        <v>227</v>
      </c>
      <c r="F4" s="1335" t="s">
        <v>509</v>
      </c>
    </row>
    <row r="5" spans="2:6">
      <c r="B5" s="1074" t="s">
        <v>510</v>
      </c>
      <c r="C5" s="1073" t="s">
        <v>511</v>
      </c>
      <c r="D5" s="1073">
        <v>70</v>
      </c>
      <c r="E5" s="1073">
        <v>3</v>
      </c>
      <c r="F5" s="1075">
        <f>+E5*D5</f>
        <v>210</v>
      </c>
    </row>
    <row r="6" spans="2:6" ht="15" thickBot="1">
      <c r="B6" s="1098" t="s">
        <v>512</v>
      </c>
      <c r="C6" s="763" t="s">
        <v>513</v>
      </c>
      <c r="D6" s="763">
        <v>200</v>
      </c>
      <c r="E6" s="763">
        <v>9</v>
      </c>
      <c r="F6" s="1099">
        <f>+E6*D6</f>
        <v>1800</v>
      </c>
    </row>
    <row r="7" spans="2:6" ht="15" thickBot="1">
      <c r="B7" s="1548" t="s">
        <v>476</v>
      </c>
      <c r="C7" s="1549"/>
      <c r="D7" s="1549"/>
      <c r="E7" s="1549"/>
      <c r="F7" s="1100">
        <f>+F6+F5</f>
        <v>2010</v>
      </c>
    </row>
    <row r="8" spans="2:6" ht="15" thickBot="1">
      <c r="B8" s="1060"/>
      <c r="C8" s="1060"/>
      <c r="D8" s="1060"/>
      <c r="E8" s="1060"/>
      <c r="F8" s="1059"/>
    </row>
    <row r="9" spans="2:6" ht="43.9" thickBot="1">
      <c r="B9" s="1070" t="s">
        <v>514</v>
      </c>
      <c r="C9" s="1071" t="s">
        <v>227</v>
      </c>
      <c r="D9" s="1071" t="s">
        <v>515</v>
      </c>
      <c r="E9" s="1072" t="s">
        <v>516</v>
      </c>
      <c r="F9" s="1059"/>
    </row>
    <row r="10" spans="2:6">
      <c r="B10" s="1063" t="s">
        <v>517</v>
      </c>
      <c r="C10" s="1062">
        <v>22</v>
      </c>
      <c r="D10" s="1062">
        <v>3</v>
      </c>
      <c r="E10" s="1064">
        <v>66</v>
      </c>
      <c r="F10" s="1059"/>
    </row>
    <row r="11" spans="2:6">
      <c r="B11" s="1065" t="s">
        <v>518</v>
      </c>
      <c r="C11" s="1061">
        <v>1</v>
      </c>
      <c r="D11" s="1061">
        <v>0.55000000000000004</v>
      </c>
      <c r="E11" s="1066">
        <v>0.55000000000000004</v>
      </c>
      <c r="F11" s="1059"/>
    </row>
    <row r="12" spans="2:6">
      <c r="B12" s="1065" t="s">
        <v>497</v>
      </c>
      <c r="C12" s="1061">
        <v>9</v>
      </c>
      <c r="D12" s="1061">
        <v>11</v>
      </c>
      <c r="E12" s="1066">
        <v>99</v>
      </c>
      <c r="F12" s="1059"/>
    </row>
    <row r="13" spans="2:6">
      <c r="B13" s="1065" t="s">
        <v>519</v>
      </c>
      <c r="C13" s="1061">
        <v>12</v>
      </c>
      <c r="D13" s="1061">
        <v>0.4</v>
      </c>
      <c r="E13" s="1066">
        <v>4.8</v>
      </c>
      <c r="F13" s="1059"/>
    </row>
    <row r="14" spans="2:6">
      <c r="B14" s="1065" t="s">
        <v>520</v>
      </c>
      <c r="C14" s="1061">
        <v>17</v>
      </c>
      <c r="D14" s="1061">
        <v>2.5</v>
      </c>
      <c r="E14" s="1066">
        <v>42.5</v>
      </c>
      <c r="F14" s="1059"/>
    </row>
    <row r="15" spans="2:6" ht="15" thickBot="1">
      <c r="B15" s="1067" t="s">
        <v>521</v>
      </c>
      <c r="C15" s="1068">
        <v>1</v>
      </c>
      <c r="D15" s="1068">
        <v>159</v>
      </c>
      <c r="E15" s="1069">
        <v>159</v>
      </c>
      <c r="F15" s="1059"/>
    </row>
    <row r="16" spans="2:6" ht="15" thickBot="1">
      <c r="B16" s="1546" t="s">
        <v>147</v>
      </c>
      <c r="C16" s="1547"/>
      <c r="D16" s="1547"/>
      <c r="E16" s="1101">
        <v>371.85</v>
      </c>
      <c r="F16" s="1059"/>
    </row>
    <row r="17" spans="2:6" ht="15" thickBot="1">
      <c r="B17" s="1060"/>
      <c r="C17" s="1060"/>
      <c r="D17" s="1060"/>
      <c r="E17" s="1060"/>
      <c r="F17" s="1059"/>
    </row>
    <row r="18" spans="2:6">
      <c r="B18" s="1552" t="s">
        <v>499</v>
      </c>
      <c r="C18" s="1553"/>
      <c r="D18" s="1553"/>
      <c r="E18" s="1553"/>
      <c r="F18" s="1554"/>
    </row>
    <row r="19" spans="2:6" ht="15" thickBot="1">
      <c r="B19" s="1019" t="s">
        <v>522</v>
      </c>
      <c r="C19" s="1020" t="s">
        <v>129</v>
      </c>
      <c r="D19" s="1020" t="s">
        <v>227</v>
      </c>
      <c r="E19" s="1021" t="s">
        <v>523</v>
      </c>
      <c r="F19" s="1022" t="s">
        <v>484</v>
      </c>
    </row>
    <row r="20" spans="2:6">
      <c r="B20" s="1024" t="s">
        <v>524</v>
      </c>
      <c r="C20" s="1018" t="s">
        <v>525</v>
      </c>
      <c r="D20" s="1018">
        <v>159</v>
      </c>
      <c r="E20" s="1023">
        <v>35156.25</v>
      </c>
      <c r="F20" s="1025">
        <f>+E20*D20</f>
        <v>5589843.75</v>
      </c>
    </row>
    <row r="21" spans="2:6">
      <c r="B21" s="1026" t="s">
        <v>526</v>
      </c>
      <c r="C21" s="1017" t="s">
        <v>129</v>
      </c>
      <c r="D21" s="1017">
        <v>12</v>
      </c>
      <c r="E21" s="999">
        <v>33990</v>
      </c>
      <c r="F21" s="1005">
        <f>+E21*D21</f>
        <v>407880</v>
      </c>
    </row>
    <row r="22" spans="2:6">
      <c r="B22" s="1026" t="s">
        <v>527</v>
      </c>
      <c r="C22" s="1017" t="s">
        <v>129</v>
      </c>
      <c r="D22" s="1017">
        <v>22</v>
      </c>
      <c r="E22" s="999">
        <v>13500</v>
      </c>
      <c r="F22" s="1005">
        <f t="shared" ref="F22:F27" si="0">+E22*D22</f>
        <v>297000</v>
      </c>
    </row>
    <row r="23" spans="2:6">
      <c r="B23" s="1026" t="s">
        <v>528</v>
      </c>
      <c r="C23" s="1017" t="s">
        <v>129</v>
      </c>
      <c r="D23" s="1017">
        <v>17</v>
      </c>
      <c r="E23" s="999">
        <v>13990</v>
      </c>
      <c r="F23" s="1005">
        <f t="shared" si="0"/>
        <v>237830</v>
      </c>
    </row>
    <row r="24" spans="2:6">
      <c r="B24" s="1026" t="s">
        <v>529</v>
      </c>
      <c r="C24" s="1017" t="s">
        <v>129</v>
      </c>
      <c r="D24" s="1017">
        <v>9</v>
      </c>
      <c r="E24" s="999">
        <v>29000</v>
      </c>
      <c r="F24" s="1005">
        <f t="shared" si="0"/>
        <v>261000</v>
      </c>
    </row>
    <row r="25" spans="2:6">
      <c r="B25" s="1026" t="s">
        <v>530</v>
      </c>
      <c r="C25" s="1017" t="s">
        <v>129</v>
      </c>
      <c r="D25" s="1017">
        <v>1</v>
      </c>
      <c r="E25" s="999">
        <v>30000</v>
      </c>
      <c r="F25" s="1005">
        <f t="shared" si="0"/>
        <v>30000</v>
      </c>
    </row>
    <row r="26" spans="2:6">
      <c r="B26" s="1026" t="s">
        <v>531</v>
      </c>
      <c r="C26" s="1017" t="s">
        <v>129</v>
      </c>
      <c r="D26" s="1017">
        <v>9</v>
      </c>
      <c r="E26" s="999">
        <v>29000</v>
      </c>
      <c r="F26" s="1005">
        <f t="shared" si="0"/>
        <v>261000</v>
      </c>
    </row>
    <row r="27" spans="2:6">
      <c r="B27" s="1026" t="s">
        <v>532</v>
      </c>
      <c r="C27" s="1017" t="s">
        <v>129</v>
      </c>
      <c r="D27" s="1017">
        <v>9</v>
      </c>
      <c r="E27" s="999">
        <v>19000</v>
      </c>
      <c r="F27" s="1005">
        <f t="shared" si="0"/>
        <v>171000</v>
      </c>
    </row>
    <row r="28" spans="2:6">
      <c r="B28" s="1026" t="s">
        <v>533</v>
      </c>
      <c r="C28" s="1017" t="s">
        <v>129</v>
      </c>
      <c r="D28" s="1017">
        <v>1</v>
      </c>
      <c r="E28" s="999">
        <v>3000000</v>
      </c>
      <c r="F28" s="1005">
        <f>+E28*D28</f>
        <v>3000000</v>
      </c>
    </row>
    <row r="29" spans="2:6">
      <c r="B29" s="1026" t="s">
        <v>534</v>
      </c>
      <c r="C29" s="1017" t="s">
        <v>129</v>
      </c>
      <c r="D29" s="1017">
        <v>1</v>
      </c>
      <c r="E29" s="999">
        <v>9000000</v>
      </c>
      <c r="F29" s="1005">
        <f>+E29*D29</f>
        <v>9000000</v>
      </c>
    </row>
    <row r="30" spans="2:6">
      <c r="B30" s="1550" t="s">
        <v>535</v>
      </c>
      <c r="C30" s="1551"/>
      <c r="D30" s="1551"/>
      <c r="E30" s="1551"/>
      <c r="F30" s="1027">
        <f>SUM(F20:F29)</f>
        <v>19255553.75</v>
      </c>
    </row>
    <row r="31" spans="2:6" ht="15" thickBot="1">
      <c r="B31" s="1028"/>
      <c r="F31" s="135"/>
    </row>
    <row r="32" spans="2:6" ht="15" thickBot="1">
      <c r="B32" s="1538" t="s">
        <v>536</v>
      </c>
      <c r="C32" s="1539"/>
      <c r="D32" s="1539"/>
      <c r="E32" s="1539"/>
      <c r="F32" s="1540"/>
    </row>
    <row r="33" spans="2:6" ht="15" thickBot="1">
      <c r="B33" s="1344" t="s">
        <v>537</v>
      </c>
      <c r="C33" s="1030" t="s">
        <v>538</v>
      </c>
      <c r="D33" s="1030" t="s">
        <v>539</v>
      </c>
      <c r="E33" s="1030" t="s">
        <v>540</v>
      </c>
      <c r="F33" s="1345" t="s">
        <v>147</v>
      </c>
    </row>
    <row r="34" spans="2:6" ht="15" thickBot="1">
      <c r="B34" s="1012" t="s">
        <v>541</v>
      </c>
      <c r="C34" s="1013" t="s">
        <v>542</v>
      </c>
      <c r="D34" s="1029">
        <v>8</v>
      </c>
      <c r="E34" s="1029">
        <v>10</v>
      </c>
      <c r="F34" s="1031">
        <f>C34*D34*E34</f>
        <v>3200000</v>
      </c>
    </row>
    <row r="35" spans="2:6">
      <c r="B35" s="1555" t="s">
        <v>543</v>
      </c>
      <c r="C35" s="1556"/>
      <c r="D35" s="1556"/>
      <c r="E35" s="1556"/>
      <c r="F35" s="1057">
        <f>F34+F30</f>
        <v>22455553.75</v>
      </c>
    </row>
    <row r="36" spans="2:6">
      <c r="B36" s="1532" t="s">
        <v>488</v>
      </c>
      <c r="C36" s="1533"/>
      <c r="D36" s="1533"/>
      <c r="E36" s="1533"/>
      <c r="F36" s="286">
        <f>1002.5</f>
        <v>1002.5</v>
      </c>
    </row>
    <row r="37" spans="2:6" ht="15" thickBot="1">
      <c r="B37" s="1534" t="s">
        <v>232</v>
      </c>
      <c r="C37" s="1535"/>
      <c r="D37" s="1535"/>
      <c r="E37" s="1535"/>
      <c r="F37" s="1058">
        <f>F35/F36</f>
        <v>22399.554862842891</v>
      </c>
    </row>
  </sheetData>
  <mergeCells count="8">
    <mergeCell ref="B37:E37"/>
    <mergeCell ref="B16:D16"/>
    <mergeCell ref="B7:E7"/>
    <mergeCell ref="B30:E30"/>
    <mergeCell ref="B18:F18"/>
    <mergeCell ref="B32:F32"/>
    <mergeCell ref="B35:E35"/>
    <mergeCell ref="B36:E36"/>
  </mergeCells>
  <hyperlinks>
    <hyperlink ref="C2" location="Indice!A1" display="INICIO" xr:uid="{00000000-0004-0000-0C00-000000000000}"/>
  </hyperlinks>
  <pageMargins left="0.7" right="0.7" top="0.75" bottom="0.75" header="0.3" footer="0.3"/>
  <pageSetup paperSize="9"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B1:Z58"/>
  <sheetViews>
    <sheetView showGridLines="0" zoomScale="85" zoomScaleNormal="85" zoomScaleSheetLayoutView="50" workbookViewId="0">
      <selection activeCell="C2" sqref="C2"/>
    </sheetView>
  </sheetViews>
  <sheetFormatPr defaultColWidth="11.5703125" defaultRowHeight="15" customHeight="1"/>
  <cols>
    <col min="1" max="1" width="8.7109375" customWidth="1"/>
    <col min="2" max="2" width="33" style="134" bestFit="1" customWidth="1"/>
    <col min="3" max="3" width="25.28515625" style="134" customWidth="1"/>
    <col min="4" max="4" width="11.85546875" style="134" bestFit="1" customWidth="1"/>
    <col min="5" max="5" width="15.140625" style="134" bestFit="1" customWidth="1"/>
    <col min="6" max="6" width="18.42578125" style="134" bestFit="1" customWidth="1"/>
    <col min="7" max="7" width="13.5703125" style="134" bestFit="1" customWidth="1"/>
    <col min="8" max="9" width="14" style="134" customWidth="1"/>
    <col min="10" max="12" width="11.5703125" style="134"/>
    <col min="13" max="13" width="11.5703125" style="122"/>
    <col min="14" max="19" width="11.5703125" style="134"/>
    <col min="20" max="20" width="34.140625" style="134" bestFit="1" customWidth="1"/>
    <col min="21" max="22" width="11.5703125" style="134"/>
    <col min="23" max="23" width="18.42578125" style="134" bestFit="1" customWidth="1"/>
    <col min="24" max="26" width="11.5703125" style="134"/>
  </cols>
  <sheetData>
    <row r="1" spans="2:26" ht="15" customHeight="1">
      <c r="B1" s="41"/>
      <c r="C1" s="41"/>
      <c r="D1" s="41"/>
      <c r="E1" s="41"/>
      <c r="F1" s="41"/>
      <c r="G1" s="41"/>
      <c r="H1" s="41"/>
      <c r="I1" s="41"/>
      <c r="J1" s="41"/>
      <c r="K1" s="41"/>
      <c r="L1" s="41"/>
      <c r="M1" s="1346"/>
      <c r="N1" s="41"/>
      <c r="O1" s="41"/>
      <c r="P1" s="41"/>
      <c r="Q1" s="180"/>
      <c r="R1" s="180"/>
      <c r="S1" s="180"/>
      <c r="T1"/>
      <c r="U1"/>
      <c r="V1"/>
      <c r="W1"/>
      <c r="X1"/>
      <c r="Y1"/>
      <c r="Z1"/>
    </row>
    <row r="2" spans="2:26" ht="15" customHeight="1">
      <c r="B2" s="1346" t="s">
        <v>126</v>
      </c>
      <c r="C2" s="338" t="s">
        <v>49</v>
      </c>
      <c r="D2" s="41"/>
      <c r="E2" s="41"/>
      <c r="F2" s="41"/>
      <c r="G2" s="41"/>
      <c r="H2" s="41"/>
      <c r="I2" s="41"/>
      <c r="J2" s="41"/>
      <c r="K2"/>
      <c r="L2"/>
      <c r="M2" s="1305"/>
      <c r="N2"/>
      <c r="O2"/>
      <c r="P2"/>
      <c r="Q2"/>
      <c r="R2"/>
      <c r="S2" s="180"/>
      <c r="T2"/>
      <c r="U2"/>
      <c r="V2"/>
      <c r="W2"/>
      <c r="X2"/>
      <c r="Y2"/>
      <c r="Z2"/>
    </row>
    <row r="3" spans="2:26" ht="15" customHeight="1" thickBot="1">
      <c r="C3"/>
      <c r="D3"/>
      <c r="E3"/>
      <c r="F3"/>
      <c r="H3"/>
      <c r="I3"/>
      <c r="J3"/>
    </row>
    <row r="4" spans="2:26" ht="58.15" thickBot="1">
      <c r="B4" s="777" t="s">
        <v>372</v>
      </c>
      <c r="C4" s="774" t="s">
        <v>237</v>
      </c>
      <c r="D4" s="773" t="s">
        <v>544</v>
      </c>
      <c r="E4" s="773" t="s">
        <v>545</v>
      </c>
      <c r="F4" s="773" t="s">
        <v>546</v>
      </c>
      <c r="G4" s="773" t="s">
        <v>547</v>
      </c>
      <c r="H4" s="773" t="s">
        <v>227</v>
      </c>
      <c r="I4" s="773" t="s">
        <v>548</v>
      </c>
      <c r="J4" s="789" t="s">
        <v>549</v>
      </c>
      <c r="K4" s="789" t="s">
        <v>550</v>
      </c>
      <c r="L4" s="789" t="s">
        <v>551</v>
      </c>
      <c r="M4" s="790" t="s">
        <v>552</v>
      </c>
      <c r="N4" s="764"/>
      <c r="O4" s="764"/>
    </row>
    <row r="5" spans="2:26" ht="15" customHeight="1">
      <c r="B5" s="1560" t="s">
        <v>553</v>
      </c>
      <c r="C5" s="775" t="s">
        <v>554</v>
      </c>
      <c r="D5" s="770">
        <v>18</v>
      </c>
      <c r="E5" s="770">
        <v>0.88</v>
      </c>
      <c r="F5" s="770">
        <v>380</v>
      </c>
      <c r="G5" s="770">
        <v>31.08</v>
      </c>
      <c r="H5" s="770">
        <v>1</v>
      </c>
      <c r="I5" s="902">
        <f>D5/3</f>
        <v>6</v>
      </c>
      <c r="J5" s="771">
        <f>D5*H5</f>
        <v>18</v>
      </c>
      <c r="K5" s="771">
        <f t="shared" ref="K5:K21" si="0">SQRT((L5^2)-(J5^2))</f>
        <v>9.7153707984855675</v>
      </c>
      <c r="L5" s="771">
        <f t="shared" ref="L5:L21" si="1">J5/E5</f>
        <v>20.454545454545453</v>
      </c>
      <c r="M5" s="772">
        <f>G5*H5</f>
        <v>31.08</v>
      </c>
      <c r="N5" s="765"/>
      <c r="O5" s="765"/>
    </row>
    <row r="6" spans="2:26" ht="15" customHeight="1">
      <c r="B6" s="1561"/>
      <c r="C6" s="776" t="s">
        <v>555</v>
      </c>
      <c r="D6" s="767">
        <v>6</v>
      </c>
      <c r="E6" s="767">
        <v>0.91</v>
      </c>
      <c r="F6" s="767">
        <v>220</v>
      </c>
      <c r="G6" s="767">
        <v>17.3</v>
      </c>
      <c r="H6" s="767">
        <v>1</v>
      </c>
      <c r="I6" s="902">
        <f t="shared" ref="I6:I24" si="2">D6/3</f>
        <v>2</v>
      </c>
      <c r="J6" s="768">
        <f>D6*H6/3</f>
        <v>2</v>
      </c>
      <c r="K6" s="768">
        <f t="shared" si="0"/>
        <v>0.9112269205111152</v>
      </c>
      <c r="L6" s="768">
        <f t="shared" si="1"/>
        <v>2.1978021978021975</v>
      </c>
      <c r="M6" s="769">
        <f t="shared" ref="M6:M21" si="3">G6*H6</f>
        <v>17.3</v>
      </c>
      <c r="N6" s="765"/>
      <c r="O6" s="765"/>
    </row>
    <row r="7" spans="2:26" ht="15" customHeight="1">
      <c r="B7" s="1561"/>
      <c r="C7" s="776" t="s">
        <v>556</v>
      </c>
      <c r="D7" s="767">
        <v>5</v>
      </c>
      <c r="E7" s="767">
        <v>0.88</v>
      </c>
      <c r="F7" s="767">
        <v>220</v>
      </c>
      <c r="G7" s="767">
        <v>14.91</v>
      </c>
      <c r="H7" s="767">
        <v>1</v>
      </c>
      <c r="I7" s="902">
        <f t="shared" si="2"/>
        <v>1.6666666666666667</v>
      </c>
      <c r="J7" s="768">
        <f>D7*H7/3</f>
        <v>1.6666666666666667</v>
      </c>
      <c r="K7" s="768">
        <f t="shared" si="0"/>
        <v>0.89957137023014522</v>
      </c>
      <c r="L7" s="768">
        <f t="shared" si="1"/>
        <v>1.893939393939394</v>
      </c>
      <c r="M7" s="769">
        <f t="shared" si="3"/>
        <v>14.91</v>
      </c>
      <c r="N7" s="765"/>
      <c r="O7" s="765"/>
    </row>
    <row r="8" spans="2:26" ht="15" customHeight="1">
      <c r="B8" s="1561"/>
      <c r="C8" s="776" t="s">
        <v>557</v>
      </c>
      <c r="D8" s="767">
        <v>0.745</v>
      </c>
      <c r="E8" s="767">
        <v>0.9</v>
      </c>
      <c r="F8" s="767">
        <v>220</v>
      </c>
      <c r="G8" s="767">
        <v>2.17</v>
      </c>
      <c r="H8" s="767">
        <v>1</v>
      </c>
      <c r="I8" s="902">
        <f t="shared" si="2"/>
        <v>0.24833333333333332</v>
      </c>
      <c r="J8" s="768">
        <f>D8*H8/3</f>
        <v>0.24833333333333332</v>
      </c>
      <c r="K8" s="768">
        <f t="shared" si="0"/>
        <v>0.12027332270140004</v>
      </c>
      <c r="L8" s="768">
        <f t="shared" si="1"/>
        <v>0.27592592592592591</v>
      </c>
      <c r="M8" s="769">
        <f t="shared" si="3"/>
        <v>2.17</v>
      </c>
      <c r="N8" s="765"/>
      <c r="O8" s="765"/>
    </row>
    <row r="9" spans="2:26" ht="15" customHeight="1">
      <c r="B9" s="1562" t="s">
        <v>558</v>
      </c>
      <c r="C9" s="776" t="s">
        <v>559</v>
      </c>
      <c r="D9" s="767">
        <v>37</v>
      </c>
      <c r="E9" s="767">
        <v>0.9</v>
      </c>
      <c r="F9" s="767">
        <v>380</v>
      </c>
      <c r="G9" s="767">
        <v>62.46</v>
      </c>
      <c r="H9" s="767">
        <v>3</v>
      </c>
      <c r="I9" s="902">
        <f t="shared" si="2"/>
        <v>12.333333333333334</v>
      </c>
      <c r="J9" s="768">
        <f>D9*H9</f>
        <v>111</v>
      </c>
      <c r="K9" s="768">
        <f t="shared" si="0"/>
        <v>53.759753637001623</v>
      </c>
      <c r="L9" s="768">
        <f t="shared" si="1"/>
        <v>123.33333333333333</v>
      </c>
      <c r="M9" s="769">
        <f t="shared" si="3"/>
        <v>187.38</v>
      </c>
      <c r="N9" s="765"/>
      <c r="O9" s="765"/>
    </row>
    <row r="10" spans="2:26" ht="15" customHeight="1">
      <c r="B10" s="1562"/>
      <c r="C10" s="776" t="s">
        <v>560</v>
      </c>
      <c r="D10" s="767">
        <v>5</v>
      </c>
      <c r="E10" s="767">
        <v>0.9</v>
      </c>
      <c r="F10" s="767">
        <v>380</v>
      </c>
      <c r="G10" s="767">
        <v>8.44</v>
      </c>
      <c r="H10" s="767">
        <v>3</v>
      </c>
      <c r="I10" s="902">
        <f>D10/3</f>
        <v>1.6666666666666667</v>
      </c>
      <c r="J10" s="768">
        <f>D10*H10</f>
        <v>15</v>
      </c>
      <c r="K10" s="768">
        <f>SQRT((L10^2)-(J10^2))</f>
        <v>7.2648315725677923</v>
      </c>
      <c r="L10" s="768">
        <f>J10/E10</f>
        <v>16.666666666666668</v>
      </c>
      <c r="M10" s="769">
        <f>G10*H10</f>
        <v>25.32</v>
      </c>
      <c r="N10" s="765"/>
      <c r="O10" s="765"/>
    </row>
    <row r="11" spans="2:26" ht="15" customHeight="1">
      <c r="B11" s="1562"/>
      <c r="C11" s="776" t="s">
        <v>510</v>
      </c>
      <c r="D11" s="767">
        <v>6</v>
      </c>
      <c r="E11" s="767">
        <v>0.9</v>
      </c>
      <c r="F11" s="767">
        <v>380</v>
      </c>
      <c r="G11" s="767">
        <v>10.119999999999999</v>
      </c>
      <c r="H11" s="767">
        <v>3</v>
      </c>
      <c r="I11" s="902">
        <f>D11/3</f>
        <v>2</v>
      </c>
      <c r="J11" s="768">
        <f>D11*H11</f>
        <v>18</v>
      </c>
      <c r="K11" s="768">
        <f>SQRT((L11^2)-(J11^2))</f>
        <v>8.717797887081348</v>
      </c>
      <c r="L11" s="768">
        <f>J11/E11</f>
        <v>20</v>
      </c>
      <c r="M11" s="769">
        <f>G11*H11</f>
        <v>30.36</v>
      </c>
      <c r="N11" s="765"/>
      <c r="O11" s="765"/>
    </row>
    <row r="12" spans="2:26" ht="15" customHeight="1">
      <c r="B12" s="1562"/>
      <c r="C12" s="776" t="s">
        <v>561</v>
      </c>
      <c r="D12" s="767">
        <v>0.25</v>
      </c>
      <c r="E12" s="767">
        <v>0.9</v>
      </c>
      <c r="F12" s="767">
        <v>220</v>
      </c>
      <c r="G12" s="767">
        <v>0.73</v>
      </c>
      <c r="H12" s="767">
        <v>8</v>
      </c>
      <c r="I12" s="902">
        <f t="shared" si="2"/>
        <v>8.3333333333333329E-2</v>
      </c>
      <c r="J12" s="768">
        <f>D12*H12/3</f>
        <v>0.66666666666666663</v>
      </c>
      <c r="K12" s="768">
        <f t="shared" si="0"/>
        <v>0.32288140322523495</v>
      </c>
      <c r="L12" s="768">
        <f t="shared" si="1"/>
        <v>0.7407407407407407</v>
      </c>
      <c r="M12" s="769">
        <f t="shared" si="3"/>
        <v>5.84</v>
      </c>
      <c r="N12" s="765"/>
      <c r="O12" s="765"/>
    </row>
    <row r="13" spans="2:26" ht="15" customHeight="1">
      <c r="B13" s="1561" t="s">
        <v>218</v>
      </c>
      <c r="C13" s="776" t="s">
        <v>562</v>
      </c>
      <c r="D13" s="767">
        <v>0.2</v>
      </c>
      <c r="E13" s="767">
        <v>0.87</v>
      </c>
      <c r="F13" s="767">
        <v>220</v>
      </c>
      <c r="G13" s="767">
        <v>1.04</v>
      </c>
      <c r="H13" s="767">
        <v>1</v>
      </c>
      <c r="I13" s="902">
        <f t="shared" si="2"/>
        <v>6.6666666666666666E-2</v>
      </c>
      <c r="J13" s="768">
        <f t="shared" ref="J13:J24" si="4">D13*H13/3</f>
        <v>6.6666666666666666E-2</v>
      </c>
      <c r="K13" s="768">
        <f t="shared" si="0"/>
        <v>3.778174110535186E-2</v>
      </c>
      <c r="L13" s="768">
        <f t="shared" si="1"/>
        <v>7.662835249042145E-2</v>
      </c>
      <c r="M13" s="769">
        <f t="shared" si="3"/>
        <v>1.04</v>
      </c>
      <c r="N13" s="765"/>
      <c r="O13" s="765"/>
    </row>
    <row r="14" spans="2:26" ht="15" customHeight="1">
      <c r="B14" s="1561"/>
      <c r="C14" s="776" t="s">
        <v>563</v>
      </c>
      <c r="D14" s="767">
        <v>0.8</v>
      </c>
      <c r="E14" s="767">
        <v>0.9</v>
      </c>
      <c r="F14" s="767">
        <v>220</v>
      </c>
      <c r="G14" s="767">
        <v>4.04</v>
      </c>
      <c r="H14" s="767">
        <v>2</v>
      </c>
      <c r="I14" s="902">
        <f t="shared" si="2"/>
        <v>0.26666666666666666</v>
      </c>
      <c r="J14" s="768">
        <f t="shared" si="4"/>
        <v>0.53333333333333333</v>
      </c>
      <c r="K14" s="768">
        <f t="shared" si="0"/>
        <v>0.25830512258018801</v>
      </c>
      <c r="L14" s="768">
        <f t="shared" si="1"/>
        <v>0.59259259259259256</v>
      </c>
      <c r="M14" s="769">
        <f t="shared" si="3"/>
        <v>8.08</v>
      </c>
      <c r="N14" s="765"/>
      <c r="O14" s="765"/>
    </row>
    <row r="15" spans="2:26" ht="15" customHeight="1">
      <c r="B15" s="1561"/>
      <c r="C15" s="776" t="s">
        <v>564</v>
      </c>
      <c r="D15" s="767">
        <v>6.3</v>
      </c>
      <c r="E15" s="767">
        <v>0.87</v>
      </c>
      <c r="F15" s="767">
        <v>220</v>
      </c>
      <c r="G15" s="767">
        <v>32.92</v>
      </c>
      <c r="H15" s="767">
        <v>2</v>
      </c>
      <c r="I15" s="902">
        <f t="shared" si="2"/>
        <v>2.1</v>
      </c>
      <c r="J15" s="768">
        <f t="shared" si="4"/>
        <v>4.2</v>
      </c>
      <c r="K15" s="768">
        <f t="shared" si="0"/>
        <v>2.3802496896371674</v>
      </c>
      <c r="L15" s="768">
        <f t="shared" si="1"/>
        <v>4.8275862068965516</v>
      </c>
      <c r="M15" s="769">
        <f t="shared" si="3"/>
        <v>65.84</v>
      </c>
      <c r="N15" s="765"/>
      <c r="O15" s="765"/>
    </row>
    <row r="16" spans="2:26" ht="15" customHeight="1">
      <c r="B16" s="1561"/>
      <c r="C16" s="776" t="s">
        <v>492</v>
      </c>
      <c r="D16" s="767">
        <v>9</v>
      </c>
      <c r="E16" s="767">
        <v>0.9</v>
      </c>
      <c r="F16" s="767">
        <v>220</v>
      </c>
      <c r="G16" s="767">
        <v>45.45</v>
      </c>
      <c r="H16" s="767">
        <v>2</v>
      </c>
      <c r="I16" s="902">
        <f t="shared" si="2"/>
        <v>3</v>
      </c>
      <c r="J16" s="768">
        <f t="shared" si="4"/>
        <v>6</v>
      </c>
      <c r="K16" s="768">
        <f t="shared" si="0"/>
        <v>2.9059326290271144</v>
      </c>
      <c r="L16" s="768">
        <f t="shared" si="1"/>
        <v>6.6666666666666661</v>
      </c>
      <c r="M16" s="769">
        <f t="shared" si="3"/>
        <v>90.9</v>
      </c>
      <c r="N16" s="765"/>
      <c r="O16" s="765"/>
    </row>
    <row r="17" spans="2:15" ht="15" customHeight="1">
      <c r="B17" s="1561"/>
      <c r="C17" s="776" t="s">
        <v>565</v>
      </c>
      <c r="D17" s="767">
        <v>0.21</v>
      </c>
      <c r="E17" s="767">
        <v>0.9</v>
      </c>
      <c r="F17" s="767">
        <v>220</v>
      </c>
      <c r="G17" s="767">
        <v>1.06</v>
      </c>
      <c r="H17" s="767">
        <v>1</v>
      </c>
      <c r="I17" s="902">
        <f t="shared" si="2"/>
        <v>6.9999999999999993E-2</v>
      </c>
      <c r="J17" s="768">
        <f t="shared" si="4"/>
        <v>6.9999999999999993E-2</v>
      </c>
      <c r="K17" s="768">
        <f t="shared" si="0"/>
        <v>3.3902547338649676E-2</v>
      </c>
      <c r="L17" s="768">
        <f t="shared" si="1"/>
        <v>7.7777777777777765E-2</v>
      </c>
      <c r="M17" s="769">
        <f t="shared" si="3"/>
        <v>1.06</v>
      </c>
      <c r="N17" s="765"/>
      <c r="O17" s="765"/>
    </row>
    <row r="18" spans="2:15" ht="15" customHeight="1">
      <c r="B18" s="1561"/>
      <c r="C18" s="776" t="s">
        <v>566</v>
      </c>
      <c r="D18" s="767">
        <v>0.75</v>
      </c>
      <c r="E18" s="767">
        <v>0.95</v>
      </c>
      <c r="F18" s="767">
        <v>220</v>
      </c>
      <c r="G18" s="767">
        <v>3.59</v>
      </c>
      <c r="H18" s="767">
        <v>1</v>
      </c>
      <c r="I18" s="902">
        <f t="shared" si="2"/>
        <v>0.25</v>
      </c>
      <c r="J18" s="768">
        <f t="shared" si="4"/>
        <v>0.25</v>
      </c>
      <c r="K18" s="768">
        <f>SQRT((L18^2)-(J18^2))</f>
        <v>8.2171026294715718E-2</v>
      </c>
      <c r="L18" s="768">
        <f>J18/E18</f>
        <v>0.26315789473684209</v>
      </c>
      <c r="M18" s="769">
        <f>G18*H18</f>
        <v>3.59</v>
      </c>
      <c r="N18" s="765"/>
      <c r="O18" s="765"/>
    </row>
    <row r="19" spans="2:15" ht="15" customHeight="1">
      <c r="B19" s="1561" t="s">
        <v>567</v>
      </c>
      <c r="C19" s="776" t="s">
        <v>284</v>
      </c>
      <c r="D19" s="767">
        <v>0.4</v>
      </c>
      <c r="E19" s="767">
        <v>0.99</v>
      </c>
      <c r="F19" s="767">
        <v>220</v>
      </c>
      <c r="G19" s="767">
        <v>1.84</v>
      </c>
      <c r="H19" s="767">
        <v>6</v>
      </c>
      <c r="I19" s="902">
        <f t="shared" si="2"/>
        <v>0.13333333333333333</v>
      </c>
      <c r="J19" s="768">
        <f t="shared" si="4"/>
        <v>0.80000000000000016</v>
      </c>
      <c r="K19" s="768">
        <f t="shared" si="0"/>
        <v>0.11399382609831045</v>
      </c>
      <c r="L19" s="768">
        <f t="shared" si="1"/>
        <v>0.80808080808080829</v>
      </c>
      <c r="M19" s="769">
        <f t="shared" si="3"/>
        <v>11.040000000000001</v>
      </c>
      <c r="N19" s="765"/>
      <c r="O19" s="765"/>
    </row>
    <row r="20" spans="2:15" ht="15" customHeight="1">
      <c r="B20" s="1561"/>
      <c r="C20" s="776" t="s">
        <v>286</v>
      </c>
      <c r="D20" s="767">
        <v>0.6</v>
      </c>
      <c r="E20" s="767">
        <v>0.85</v>
      </c>
      <c r="F20" s="767">
        <v>220</v>
      </c>
      <c r="G20" s="767">
        <v>3.21</v>
      </c>
      <c r="H20" s="767">
        <v>4</v>
      </c>
      <c r="I20" s="902">
        <f t="shared" si="2"/>
        <v>0.19999999999999998</v>
      </c>
      <c r="J20" s="768">
        <f t="shared" si="4"/>
        <v>0.79999999999999993</v>
      </c>
      <c r="K20" s="768">
        <f t="shared" si="0"/>
        <v>0.49579547072248198</v>
      </c>
      <c r="L20" s="768">
        <f t="shared" si="1"/>
        <v>0.94117647058823528</v>
      </c>
      <c r="M20" s="769">
        <f t="shared" si="3"/>
        <v>12.84</v>
      </c>
      <c r="N20" s="765"/>
      <c r="O20" s="765"/>
    </row>
    <row r="21" spans="2:15" ht="15" customHeight="1">
      <c r="B21" s="1561"/>
      <c r="C21" s="776" t="s">
        <v>564</v>
      </c>
      <c r="D21" s="767">
        <v>3.45</v>
      </c>
      <c r="E21" s="767">
        <v>0.87</v>
      </c>
      <c r="F21" s="767">
        <v>220</v>
      </c>
      <c r="G21" s="767">
        <v>18.03</v>
      </c>
      <c r="H21" s="767">
        <v>2</v>
      </c>
      <c r="I21" s="902">
        <f t="shared" si="2"/>
        <v>1.1500000000000001</v>
      </c>
      <c r="J21" s="768">
        <f t="shared" si="4"/>
        <v>2.3000000000000003</v>
      </c>
      <c r="K21" s="768">
        <f t="shared" si="0"/>
        <v>1.3034700681346394</v>
      </c>
      <c r="L21" s="768">
        <f t="shared" si="1"/>
        <v>2.6436781609195403</v>
      </c>
      <c r="M21" s="769">
        <f t="shared" si="3"/>
        <v>36.06</v>
      </c>
      <c r="N21" s="765"/>
      <c r="O21" s="765"/>
    </row>
    <row r="22" spans="2:15" ht="15" customHeight="1">
      <c r="B22" s="1561"/>
      <c r="C22" s="776" t="s">
        <v>564</v>
      </c>
      <c r="D22" s="767">
        <v>5</v>
      </c>
      <c r="E22" s="767">
        <v>0.87</v>
      </c>
      <c r="F22" s="767">
        <v>220</v>
      </c>
      <c r="G22" s="767">
        <v>26.12</v>
      </c>
      <c r="H22" s="767">
        <v>1</v>
      </c>
      <c r="I22" s="902">
        <f t="shared" si="2"/>
        <v>1.6666666666666667</v>
      </c>
      <c r="J22" s="768">
        <f t="shared" si="4"/>
        <v>1.6666666666666667</v>
      </c>
      <c r="K22" s="768">
        <f>SQRT((L22^2)-(J22^2))</f>
        <v>0.94454352763379712</v>
      </c>
      <c r="L22" s="768">
        <f>J22/E22</f>
        <v>1.9157088122605366</v>
      </c>
      <c r="M22" s="769">
        <f>G22*H22</f>
        <v>26.12</v>
      </c>
      <c r="N22" s="765"/>
      <c r="O22" s="765"/>
    </row>
    <row r="23" spans="2:15" ht="15" customHeight="1">
      <c r="B23" s="1561" t="s">
        <v>568</v>
      </c>
      <c r="C23" s="776" t="s">
        <v>569</v>
      </c>
      <c r="D23" s="767">
        <v>5.31</v>
      </c>
      <c r="E23" s="767">
        <v>0.9</v>
      </c>
      <c r="F23" s="767">
        <v>220</v>
      </c>
      <c r="G23" s="767">
        <v>26.82</v>
      </c>
      <c r="H23" s="767">
        <v>1</v>
      </c>
      <c r="I23" s="902">
        <f t="shared" si="2"/>
        <v>1.7699999999999998</v>
      </c>
      <c r="J23" s="768">
        <f t="shared" si="4"/>
        <v>1.7699999999999998</v>
      </c>
      <c r="K23" s="768">
        <f>SQRT((L23^2)-(J23^2))</f>
        <v>0.85725012556299884</v>
      </c>
      <c r="L23" s="768">
        <f>J23/E23</f>
        <v>1.9666666666666663</v>
      </c>
      <c r="M23" s="781">
        <f>G23*H23</f>
        <v>26.82</v>
      </c>
      <c r="N23" s="765"/>
      <c r="O23" s="765"/>
    </row>
    <row r="24" spans="2:15" ht="15" customHeight="1" thickBot="1">
      <c r="B24" s="1563"/>
      <c r="C24" s="778" t="s">
        <v>570</v>
      </c>
      <c r="D24" s="779">
        <v>2.2000000000000002</v>
      </c>
      <c r="E24" s="779">
        <v>0.85</v>
      </c>
      <c r="F24" s="779">
        <v>220</v>
      </c>
      <c r="G24" s="779">
        <v>11.76</v>
      </c>
      <c r="H24" s="779">
        <v>5</v>
      </c>
      <c r="I24" s="902">
        <f t="shared" si="2"/>
        <v>0.73333333333333339</v>
      </c>
      <c r="J24" s="780">
        <f t="shared" si="4"/>
        <v>3.6666666666666665</v>
      </c>
      <c r="K24" s="780">
        <f>SQRT((L24^2)-(J24^2))</f>
        <v>2.272395907478042</v>
      </c>
      <c r="L24" s="780">
        <f>J24/E24</f>
        <v>4.3137254901960782</v>
      </c>
      <c r="M24" s="782">
        <f>G24*H24</f>
        <v>58.8</v>
      </c>
      <c r="N24" s="765"/>
      <c r="O24" s="765"/>
    </row>
    <row r="25" spans="2:15" ht="15" customHeight="1" thickBot="1">
      <c r="B25" s="1557" t="s">
        <v>147</v>
      </c>
      <c r="C25" s="1558"/>
      <c r="D25" s="1558"/>
      <c r="E25" s="1558"/>
      <c r="F25" s="1558"/>
      <c r="G25" s="1558"/>
      <c r="H25" s="1558"/>
      <c r="I25" s="1559"/>
      <c r="J25" s="783">
        <f>SUM(J5:J24)</f>
        <v>188.70499999999998</v>
      </c>
      <c r="K25" s="784"/>
      <c r="L25" s="785"/>
      <c r="M25" s="786"/>
      <c r="N25" s="765"/>
      <c r="O25" s="765"/>
    </row>
    <row r="26" spans="2:15" ht="15" customHeight="1" thickBot="1">
      <c r="B26" s="787"/>
      <c r="C26" s="787"/>
      <c r="D26" s="788"/>
      <c r="E26" s="788"/>
      <c r="F26" s="788"/>
      <c r="G26" s="788"/>
      <c r="H26" s="788"/>
      <c r="I26" s="788"/>
      <c r="J26" s="788"/>
      <c r="K26" s="788"/>
      <c r="L26" s="788"/>
      <c r="M26" s="788"/>
      <c r="N26" s="765"/>
      <c r="O26" s="765"/>
    </row>
    <row r="27" spans="2:15" ht="15" customHeight="1" thickBot="1">
      <c r="B27" s="791" t="s">
        <v>571</v>
      </c>
      <c r="C27" s="846">
        <v>0.95</v>
      </c>
      <c r="D27" s="788"/>
      <c r="E27" s="788"/>
      <c r="F27" s="788"/>
      <c r="G27" s="788"/>
      <c r="H27" s="788"/>
      <c r="I27" s="788"/>
      <c r="J27" s="788"/>
      <c r="K27" s="788"/>
      <c r="L27" s="788"/>
      <c r="M27" s="788"/>
      <c r="N27" s="766"/>
      <c r="O27" s="766"/>
    </row>
    <row r="28" spans="2:15" ht="15" customHeight="1" thickBot="1">
      <c r="B28" s="791" t="s">
        <v>572</v>
      </c>
      <c r="C28" s="847">
        <v>1.3</v>
      </c>
      <c r="D28" s="788"/>
      <c r="E28" s="788"/>
      <c r="F28" s="788"/>
      <c r="G28" s="788"/>
      <c r="H28" s="788"/>
      <c r="I28" s="788"/>
      <c r="J28" s="788"/>
      <c r="K28" s="788"/>
      <c r="L28" s="788"/>
      <c r="M28" s="788"/>
      <c r="N28" s="766"/>
      <c r="O28" s="766"/>
    </row>
    <row r="29" spans="2:15" ht="15" customHeight="1" thickBot="1">
      <c r="B29" s="791" t="s">
        <v>573</v>
      </c>
      <c r="C29" s="1105">
        <f>J25*C27*C28</f>
        <v>233.05067499999998</v>
      </c>
      <c r="D29" s="788"/>
      <c r="E29" s="788"/>
      <c r="F29" s="788"/>
      <c r="G29" s="788"/>
      <c r="H29" s="788"/>
      <c r="I29" s="788"/>
      <c r="J29" s="788"/>
      <c r="K29" s="788"/>
      <c r="L29" s="788"/>
      <c r="M29" s="788"/>
      <c r="N29" s="766"/>
      <c r="O29" s="766"/>
    </row>
    <row r="30" spans="2:15" ht="15" customHeight="1" thickBot="1">
      <c r="B30" s="792"/>
      <c r="C30" s="792"/>
      <c r="D30" s="788"/>
      <c r="E30" s="788"/>
      <c r="F30" s="788"/>
      <c r="G30" s="788"/>
      <c r="H30" s="788"/>
      <c r="I30" s="788"/>
      <c r="J30" s="788"/>
      <c r="K30" s="788"/>
      <c r="L30" s="788"/>
      <c r="M30" s="788"/>
      <c r="N30" s="766"/>
      <c r="O30" s="766"/>
    </row>
    <row r="31" spans="2:15" ht="15" customHeight="1">
      <c r="B31" s="1552" t="s">
        <v>499</v>
      </c>
      <c r="C31" s="1553"/>
      <c r="D31" s="1553"/>
      <c r="E31" s="1553"/>
      <c r="F31" s="1554"/>
      <c r="G31" s="766"/>
      <c r="H31" s="766"/>
      <c r="I31" s="766"/>
      <c r="J31" s="766"/>
      <c r="K31" s="766"/>
      <c r="L31" s="766"/>
      <c r="M31" s="766"/>
      <c r="N31" s="765"/>
      <c r="O31" s="765"/>
    </row>
    <row r="32" spans="2:15" ht="15" customHeight="1" thickBot="1">
      <c r="B32" s="1019" t="s">
        <v>522</v>
      </c>
      <c r="C32" s="1020" t="s">
        <v>129</v>
      </c>
      <c r="D32" s="1020" t="s">
        <v>227</v>
      </c>
      <c r="E32" s="1021" t="s">
        <v>523</v>
      </c>
      <c r="F32" s="1022" t="s">
        <v>484</v>
      </c>
    </row>
    <row r="33" spans="2:8" ht="15" customHeight="1">
      <c r="B33" s="1024" t="s">
        <v>574</v>
      </c>
      <c r="C33" s="1017" t="s">
        <v>129</v>
      </c>
      <c r="D33" s="1018">
        <v>45</v>
      </c>
      <c r="E33" s="1023">
        <v>5500</v>
      </c>
      <c r="F33" s="1025">
        <f>+E33*D33</f>
        <v>247500</v>
      </c>
    </row>
    <row r="34" spans="2:8" ht="15" customHeight="1">
      <c r="B34" s="1026" t="s">
        <v>575</v>
      </c>
      <c r="C34" s="1017" t="s">
        <v>129</v>
      </c>
      <c r="D34" s="1017">
        <v>6</v>
      </c>
      <c r="E34" s="999">
        <v>6000</v>
      </c>
      <c r="F34" s="1005">
        <f>+E34*D34</f>
        <v>36000</v>
      </c>
    </row>
    <row r="35" spans="2:8" ht="15" customHeight="1">
      <c r="B35" s="1026" t="s">
        <v>576</v>
      </c>
      <c r="C35" s="1017" t="s">
        <v>129</v>
      </c>
      <c r="D35" s="1017">
        <v>17</v>
      </c>
      <c r="E35" s="999">
        <v>10850</v>
      </c>
      <c r="F35" s="1005">
        <f t="shared" ref="F35:F40" si="5">+E35*D35</f>
        <v>184450</v>
      </c>
    </row>
    <row r="36" spans="2:8" ht="15" customHeight="1">
      <c r="B36" s="1026" t="s">
        <v>577</v>
      </c>
      <c r="C36" s="1017" t="s">
        <v>129</v>
      </c>
      <c r="D36" s="1017">
        <v>1</v>
      </c>
      <c r="E36" s="999">
        <v>21300</v>
      </c>
      <c r="F36" s="1005">
        <f t="shared" si="5"/>
        <v>21300</v>
      </c>
    </row>
    <row r="37" spans="2:8" ht="15" customHeight="1">
      <c r="B37" s="1026" t="s">
        <v>578</v>
      </c>
      <c r="C37" s="1017" t="s">
        <v>129</v>
      </c>
      <c r="D37" s="1017">
        <v>1</v>
      </c>
      <c r="E37" s="999">
        <v>172000</v>
      </c>
      <c r="F37" s="1005">
        <f t="shared" si="5"/>
        <v>172000</v>
      </c>
    </row>
    <row r="38" spans="2:8" ht="15" customHeight="1">
      <c r="B38" s="1026" t="s">
        <v>579</v>
      </c>
      <c r="C38" s="1017" t="s">
        <v>580</v>
      </c>
      <c r="D38" s="1017">
        <v>600</v>
      </c>
      <c r="E38" s="999">
        <v>375</v>
      </c>
      <c r="F38" s="1005">
        <f t="shared" si="5"/>
        <v>225000</v>
      </c>
      <c r="H38" s="134" t="s">
        <v>581</v>
      </c>
    </row>
    <row r="39" spans="2:8" ht="15" customHeight="1">
      <c r="B39" s="1026" t="s">
        <v>582</v>
      </c>
      <c r="C39" s="1017" t="s">
        <v>580</v>
      </c>
      <c r="D39" s="1017">
        <v>1100</v>
      </c>
      <c r="E39" s="999">
        <v>511</v>
      </c>
      <c r="F39" s="1005">
        <f t="shared" si="5"/>
        <v>562100</v>
      </c>
    </row>
    <row r="40" spans="2:8" ht="15" customHeight="1">
      <c r="B40" s="1026" t="s">
        <v>583</v>
      </c>
      <c r="C40" s="1017" t="s">
        <v>580</v>
      </c>
      <c r="D40" s="1017">
        <v>975</v>
      </c>
      <c r="E40" s="999">
        <v>922</v>
      </c>
      <c r="F40" s="1005">
        <f t="shared" si="5"/>
        <v>898950</v>
      </c>
    </row>
    <row r="41" spans="2:8" ht="15" customHeight="1">
      <c r="B41" s="1026" t="s">
        <v>584</v>
      </c>
      <c r="C41" s="1017" t="s">
        <v>580</v>
      </c>
      <c r="D41" s="1017">
        <v>200</v>
      </c>
      <c r="E41" s="999">
        <v>1350</v>
      </c>
      <c r="F41" s="1005">
        <f t="shared" ref="F41:F49" si="6">+E41*D41</f>
        <v>270000</v>
      </c>
    </row>
    <row r="42" spans="2:8" ht="15" customHeight="1">
      <c r="B42" s="1026" t="s">
        <v>585</v>
      </c>
      <c r="C42" s="1017" t="s">
        <v>580</v>
      </c>
      <c r="D42" s="1017">
        <v>388</v>
      </c>
      <c r="E42" s="999">
        <v>4550</v>
      </c>
      <c r="F42" s="1005">
        <f t="shared" si="6"/>
        <v>1765400</v>
      </c>
    </row>
    <row r="43" spans="2:8" ht="15" customHeight="1">
      <c r="B43" s="1026" t="s">
        <v>586</v>
      </c>
      <c r="C43" s="1017" t="s">
        <v>129</v>
      </c>
      <c r="D43" s="1017">
        <v>21</v>
      </c>
      <c r="E43" s="999">
        <v>17318</v>
      </c>
      <c r="F43" s="1005">
        <f t="shared" si="6"/>
        <v>363678</v>
      </c>
    </row>
    <row r="44" spans="2:8" ht="15" customHeight="1">
      <c r="B44" s="1026" t="s">
        <v>587</v>
      </c>
      <c r="C44" s="1017" t="s">
        <v>129</v>
      </c>
      <c r="D44" s="1017">
        <v>6</v>
      </c>
      <c r="E44" s="999">
        <v>90199</v>
      </c>
      <c r="F44" s="1005">
        <f t="shared" si="6"/>
        <v>541194</v>
      </c>
    </row>
    <row r="45" spans="2:8" ht="15" customHeight="1">
      <c r="B45" s="1026" t="s">
        <v>588</v>
      </c>
      <c r="C45" s="1017" t="s">
        <v>129</v>
      </c>
      <c r="D45" s="1017">
        <v>8</v>
      </c>
      <c r="E45" s="999">
        <v>25000</v>
      </c>
      <c r="F45" s="1005">
        <f t="shared" si="6"/>
        <v>200000</v>
      </c>
    </row>
    <row r="46" spans="2:8" ht="15" customHeight="1">
      <c r="B46" s="1026" t="s">
        <v>589</v>
      </c>
      <c r="C46" s="1017" t="s">
        <v>129</v>
      </c>
      <c r="D46" s="1017">
        <v>4</v>
      </c>
      <c r="E46" s="999">
        <v>53000</v>
      </c>
      <c r="F46" s="1005">
        <f t="shared" si="6"/>
        <v>212000</v>
      </c>
    </row>
    <row r="47" spans="2:8" ht="15" customHeight="1">
      <c r="B47" s="1026" t="s">
        <v>590</v>
      </c>
      <c r="C47" s="1017" t="s">
        <v>580</v>
      </c>
      <c r="D47" s="1017">
        <v>395</v>
      </c>
      <c r="E47" s="999">
        <v>2298</v>
      </c>
      <c r="F47" s="1005">
        <f t="shared" si="6"/>
        <v>907710</v>
      </c>
    </row>
    <row r="48" spans="2:8" ht="15" customHeight="1">
      <c r="B48" s="1026" t="s">
        <v>591</v>
      </c>
      <c r="C48" s="1017" t="s">
        <v>580</v>
      </c>
      <c r="D48" s="1017">
        <v>70</v>
      </c>
      <c r="E48" s="999">
        <v>3253</v>
      </c>
      <c r="F48" s="1005">
        <f t="shared" si="6"/>
        <v>227710</v>
      </c>
    </row>
    <row r="49" spans="2:6" ht="15" customHeight="1">
      <c r="B49" s="1026" t="s">
        <v>592</v>
      </c>
      <c r="C49" s="1017" t="s">
        <v>593</v>
      </c>
      <c r="D49" s="1017">
        <v>210</v>
      </c>
      <c r="E49" s="999">
        <v>16600</v>
      </c>
      <c r="F49" s="1005">
        <f t="shared" si="6"/>
        <v>3486000</v>
      </c>
    </row>
    <row r="50" spans="2:6" ht="15" customHeight="1">
      <c r="B50" s="1026" t="s">
        <v>493</v>
      </c>
      <c r="C50" s="1017" t="s">
        <v>594</v>
      </c>
      <c r="D50" s="1017"/>
      <c r="E50" s="999"/>
      <c r="F50" s="1005">
        <v>1000000</v>
      </c>
    </row>
    <row r="51" spans="2:6" ht="15" customHeight="1">
      <c r="B51" s="1550" t="s">
        <v>535</v>
      </c>
      <c r="C51" s="1551"/>
      <c r="D51" s="1551"/>
      <c r="E51" s="1551"/>
      <c r="F51" s="1027">
        <f>SUM(F33:F50)</f>
        <v>11320992</v>
      </c>
    </row>
    <row r="52" spans="2:6" ht="15" customHeight="1" thickBot="1">
      <c r="B52" s="1028"/>
      <c r="C52"/>
      <c r="D52"/>
      <c r="E52"/>
      <c r="F52" s="135"/>
    </row>
    <row r="53" spans="2:6" ht="15" customHeight="1" thickBot="1">
      <c r="B53" s="1538" t="s">
        <v>536</v>
      </c>
      <c r="C53" s="1539"/>
      <c r="D53" s="1539"/>
      <c r="E53" s="1539"/>
      <c r="F53" s="1540"/>
    </row>
    <row r="54" spans="2:6" ht="29.45" thickBot="1">
      <c r="B54" s="1344" t="s">
        <v>537</v>
      </c>
      <c r="C54" s="1030" t="s">
        <v>538</v>
      </c>
      <c r="D54" s="1030" t="s">
        <v>539</v>
      </c>
      <c r="E54" s="1030" t="s">
        <v>540</v>
      </c>
      <c r="F54" s="1345" t="s">
        <v>147</v>
      </c>
    </row>
    <row r="55" spans="2:6" ht="15" customHeight="1" thickBot="1">
      <c r="B55" s="1012" t="s">
        <v>541</v>
      </c>
      <c r="C55" s="1013" t="s">
        <v>542</v>
      </c>
      <c r="D55" s="1029">
        <v>8</v>
      </c>
      <c r="E55" s="1029">
        <v>30</v>
      </c>
      <c r="F55" s="1031">
        <f>C55*D55*E55</f>
        <v>9600000</v>
      </c>
    </row>
    <row r="56" spans="2:6" ht="15" customHeight="1">
      <c r="B56" s="1555" t="s">
        <v>543</v>
      </c>
      <c r="C56" s="1556"/>
      <c r="D56" s="1556"/>
      <c r="E56" s="1556"/>
      <c r="F56" s="1057">
        <f>F55+F51</f>
        <v>20920992</v>
      </c>
    </row>
    <row r="57" spans="2:6" ht="15" customHeight="1">
      <c r="B57" s="1532" t="s">
        <v>488</v>
      </c>
      <c r="C57" s="1533"/>
      <c r="D57" s="1533"/>
      <c r="E57" s="1533"/>
      <c r="F57" s="286">
        <f>1002.5</f>
        <v>1002.5</v>
      </c>
    </row>
    <row r="58" spans="2:6" ht="15" customHeight="1" thickBot="1">
      <c r="B58" s="1534" t="s">
        <v>232</v>
      </c>
      <c r="C58" s="1535"/>
      <c r="D58" s="1535"/>
      <c r="E58" s="1535"/>
      <c r="F58" s="1058">
        <f>F56/F57</f>
        <v>20868.819950124689</v>
      </c>
    </row>
  </sheetData>
  <mergeCells count="12">
    <mergeCell ref="B58:E58"/>
    <mergeCell ref="B31:F31"/>
    <mergeCell ref="B51:E51"/>
    <mergeCell ref="B53:F53"/>
    <mergeCell ref="B56:E56"/>
    <mergeCell ref="B57:E57"/>
    <mergeCell ref="B25:I25"/>
    <mergeCell ref="B5:B8"/>
    <mergeCell ref="B9:B12"/>
    <mergeCell ref="B13:B18"/>
    <mergeCell ref="B19:B22"/>
    <mergeCell ref="B23:B24"/>
  </mergeCells>
  <hyperlinks>
    <hyperlink ref="C2" location="Indice!A1" display="INICIO" xr:uid="{00000000-0004-0000-0D00-000000000000}"/>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sheetPr>
  <dimension ref="B1:R13"/>
  <sheetViews>
    <sheetView showGridLines="0" zoomScale="80" zoomScaleNormal="80" zoomScaleSheetLayoutView="50" workbookViewId="0">
      <selection activeCell="C2" sqref="C2"/>
    </sheetView>
  </sheetViews>
  <sheetFormatPr defaultColWidth="11.5703125" defaultRowHeight="15" customHeight="1"/>
  <cols>
    <col min="1" max="1" width="8.7109375" customWidth="1"/>
    <col min="2" max="2" width="27.7109375" customWidth="1"/>
    <col min="3" max="3" width="16.28515625" customWidth="1"/>
  </cols>
  <sheetData>
    <row r="1" spans="2:18" ht="15" customHeight="1">
      <c r="B1" s="41"/>
      <c r="C1" s="41"/>
      <c r="D1" s="41"/>
      <c r="E1" s="41"/>
      <c r="F1" s="41"/>
      <c r="G1" s="41"/>
      <c r="H1" s="41"/>
      <c r="I1" s="41"/>
      <c r="J1" s="41"/>
      <c r="K1" s="41"/>
      <c r="L1" s="41"/>
      <c r="M1" s="41"/>
      <c r="N1" s="41"/>
      <c r="O1" s="41"/>
      <c r="P1" s="180"/>
      <c r="Q1" s="180"/>
      <c r="R1" s="180"/>
    </row>
    <row r="2" spans="2:18" ht="15" customHeight="1">
      <c r="B2" s="1346" t="s">
        <v>126</v>
      </c>
      <c r="C2" s="338" t="s">
        <v>49</v>
      </c>
      <c r="D2" s="41"/>
      <c r="E2" s="41"/>
      <c r="F2" s="41"/>
      <c r="G2" s="41"/>
      <c r="H2" s="41"/>
      <c r="I2" s="41"/>
      <c r="R2" s="180"/>
    </row>
    <row r="3" spans="2:18" ht="15" customHeight="1" thickBot="1"/>
    <row r="4" spans="2:18" ht="23.45" customHeight="1" thickBot="1">
      <c r="B4" s="1567" t="s">
        <v>595</v>
      </c>
      <c r="C4" s="1568"/>
      <c r="D4" s="1568"/>
      <c r="E4" s="1568"/>
      <c r="F4" s="1568"/>
      <c r="G4" s="1568"/>
      <c r="H4" s="1568"/>
      <c r="I4" s="1568"/>
      <c r="J4" s="1568"/>
      <c r="K4" s="1569"/>
    </row>
    <row r="5" spans="2:18" ht="15" customHeight="1">
      <c r="B5" s="1570"/>
      <c r="C5" s="1571"/>
      <c r="D5" s="1572" t="s">
        <v>596</v>
      </c>
      <c r="E5" s="1573"/>
      <c r="F5" s="1572" t="s">
        <v>597</v>
      </c>
      <c r="G5" s="1573"/>
      <c r="H5" s="1572" t="s">
        <v>598</v>
      </c>
      <c r="I5" s="1573"/>
      <c r="J5" s="1574" t="s">
        <v>599</v>
      </c>
      <c r="K5" s="1575"/>
    </row>
    <row r="6" spans="2:18" ht="15" customHeight="1">
      <c r="B6" s="1343" t="s">
        <v>600</v>
      </c>
      <c r="C6" s="576" t="s">
        <v>601</v>
      </c>
      <c r="D6" s="1343" t="s">
        <v>602</v>
      </c>
      <c r="E6" s="574" t="s">
        <v>147</v>
      </c>
      <c r="F6" s="1343" t="s">
        <v>602</v>
      </c>
      <c r="G6" s="574" t="s">
        <v>147</v>
      </c>
      <c r="H6" s="1343" t="s">
        <v>602</v>
      </c>
      <c r="I6" s="574" t="s">
        <v>147</v>
      </c>
      <c r="J6" s="580" t="s">
        <v>602</v>
      </c>
      <c r="K6" s="574" t="s">
        <v>147</v>
      </c>
    </row>
    <row r="7" spans="2:18" ht="15" customHeight="1">
      <c r="B7" s="182" t="s">
        <v>603</v>
      </c>
      <c r="C7" s="577">
        <v>0.23</v>
      </c>
      <c r="D7" s="182">
        <v>1</v>
      </c>
      <c r="E7" s="583">
        <v>0.23</v>
      </c>
      <c r="F7" s="182">
        <v>4</v>
      </c>
      <c r="G7" s="583">
        <v>0.92</v>
      </c>
      <c r="H7" s="182">
        <v>3</v>
      </c>
      <c r="I7" s="583">
        <v>0.69</v>
      </c>
      <c r="J7" s="581">
        <v>3</v>
      </c>
      <c r="K7" s="583">
        <v>0.69</v>
      </c>
    </row>
    <row r="8" spans="2:18" ht="15" customHeight="1">
      <c r="B8" s="182" t="s">
        <v>604</v>
      </c>
      <c r="C8" s="577">
        <v>0.12</v>
      </c>
      <c r="D8" s="182">
        <v>3</v>
      </c>
      <c r="E8" s="583">
        <v>0.36</v>
      </c>
      <c r="F8" s="182">
        <v>3</v>
      </c>
      <c r="G8" s="583">
        <v>0.36</v>
      </c>
      <c r="H8" s="182">
        <v>2</v>
      </c>
      <c r="I8" s="583">
        <v>0.24</v>
      </c>
      <c r="J8" s="581">
        <v>3</v>
      </c>
      <c r="K8" s="583">
        <v>0.36</v>
      </c>
    </row>
    <row r="9" spans="2:18" ht="15" customHeight="1">
      <c r="B9" s="182" t="s">
        <v>605</v>
      </c>
      <c r="C9" s="577">
        <v>0.12</v>
      </c>
      <c r="D9" s="182">
        <v>3</v>
      </c>
      <c r="E9" s="583">
        <v>0.36</v>
      </c>
      <c r="F9" s="182">
        <v>3</v>
      </c>
      <c r="G9" s="583">
        <v>0.36</v>
      </c>
      <c r="H9" s="182">
        <v>2</v>
      </c>
      <c r="I9" s="583">
        <v>0.24</v>
      </c>
      <c r="J9" s="581">
        <v>3</v>
      </c>
      <c r="K9" s="583">
        <v>0.36</v>
      </c>
    </row>
    <row r="10" spans="2:18" ht="15" customHeight="1">
      <c r="B10" s="182" t="s">
        <v>606</v>
      </c>
      <c r="C10" s="577">
        <v>0.18</v>
      </c>
      <c r="D10" s="182">
        <v>2</v>
      </c>
      <c r="E10" s="583">
        <v>0.36</v>
      </c>
      <c r="F10" s="182">
        <v>2</v>
      </c>
      <c r="G10" s="583">
        <v>0.36</v>
      </c>
      <c r="H10" s="182">
        <v>2</v>
      </c>
      <c r="I10" s="583">
        <v>0.36</v>
      </c>
      <c r="J10" s="581">
        <v>2</v>
      </c>
      <c r="K10" s="583">
        <v>0.36</v>
      </c>
    </row>
    <row r="11" spans="2:18" ht="15" customHeight="1">
      <c r="B11" s="182" t="s">
        <v>607</v>
      </c>
      <c r="C11" s="577">
        <v>0.13</v>
      </c>
      <c r="D11" s="182">
        <v>1</v>
      </c>
      <c r="E11" s="583">
        <v>0.13</v>
      </c>
      <c r="F11" s="182">
        <v>2</v>
      </c>
      <c r="G11" s="583">
        <v>0.26</v>
      </c>
      <c r="H11" s="182">
        <v>2</v>
      </c>
      <c r="I11" s="583">
        <v>0.26</v>
      </c>
      <c r="J11" s="581">
        <v>2</v>
      </c>
      <c r="K11" s="583">
        <v>0.26</v>
      </c>
    </row>
    <row r="12" spans="2:18" ht="15" customHeight="1" thickBot="1">
      <c r="B12" s="575" t="s">
        <v>608</v>
      </c>
      <c r="C12" s="578">
        <v>0.22</v>
      </c>
      <c r="D12" s="575">
        <v>1</v>
      </c>
      <c r="E12" s="584">
        <v>0.22</v>
      </c>
      <c r="F12" s="575">
        <v>3</v>
      </c>
      <c r="G12" s="584">
        <v>0.66</v>
      </c>
      <c r="H12" s="575">
        <v>3</v>
      </c>
      <c r="I12" s="584">
        <v>0.66</v>
      </c>
      <c r="J12" s="582">
        <v>2</v>
      </c>
      <c r="K12" s="584">
        <v>0.44</v>
      </c>
    </row>
    <row r="13" spans="2:18" ht="15" customHeight="1" thickBot="1">
      <c r="B13" s="1344" t="s">
        <v>609</v>
      </c>
      <c r="C13" s="579">
        <v>1</v>
      </c>
      <c r="D13" s="1564">
        <v>1.66</v>
      </c>
      <c r="E13" s="1565"/>
      <c r="F13" s="1564">
        <v>2.92</v>
      </c>
      <c r="G13" s="1565"/>
      <c r="H13" s="1564">
        <v>2.4500000000000002</v>
      </c>
      <c r="I13" s="1565"/>
      <c r="J13" s="1566">
        <v>2.4700000000000002</v>
      </c>
      <c r="K13" s="1565"/>
    </row>
  </sheetData>
  <mergeCells count="10">
    <mergeCell ref="D13:E13"/>
    <mergeCell ref="F13:G13"/>
    <mergeCell ref="H13:I13"/>
    <mergeCell ref="J13:K13"/>
    <mergeCell ref="B4:K4"/>
    <mergeCell ref="B5:C5"/>
    <mergeCell ref="D5:E5"/>
    <mergeCell ref="F5:G5"/>
    <mergeCell ref="H5:I5"/>
    <mergeCell ref="J5:K5"/>
  </mergeCells>
  <hyperlinks>
    <hyperlink ref="C2" location="Indice!A1" display="INICIO" xr:uid="{00000000-0004-0000-0E00-000000000000}"/>
  </hyperlink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sheetPr>
  <dimension ref="B2:H20"/>
  <sheetViews>
    <sheetView showGridLines="0" zoomScale="85" zoomScaleNormal="85" workbookViewId="0">
      <selection activeCell="E2" sqref="E2"/>
    </sheetView>
  </sheetViews>
  <sheetFormatPr defaultColWidth="11.42578125" defaultRowHeight="14.45"/>
  <cols>
    <col min="3" max="3" width="14.140625" customWidth="1"/>
    <col min="4" max="4" width="10.7109375" customWidth="1"/>
    <col min="5" max="5" width="14.85546875" customWidth="1"/>
    <col min="6" max="6" width="10.7109375" customWidth="1"/>
    <col min="7" max="7" width="18.85546875" customWidth="1"/>
  </cols>
  <sheetData>
    <row r="2" spans="2:8" ht="19.899999999999999" customHeight="1">
      <c r="B2" s="1576" t="s">
        <v>126</v>
      </c>
      <c r="C2" s="1576"/>
      <c r="D2" s="1576"/>
      <c r="E2" s="1203" t="s">
        <v>49</v>
      </c>
    </row>
    <row r="3" spans="2:8" ht="15" thickBot="1"/>
    <row r="4" spans="2:8" ht="15" customHeight="1" thickBot="1">
      <c r="B4" s="1170"/>
      <c r="C4" s="1171"/>
      <c r="D4" s="1171"/>
      <c r="E4" s="1171"/>
      <c r="F4" s="1171"/>
      <c r="G4" s="1171"/>
      <c r="H4" s="1172"/>
    </row>
    <row r="5" spans="2:8" ht="18" customHeight="1" thickBot="1">
      <c r="B5" s="1173" t="s">
        <v>610</v>
      </c>
      <c r="C5" s="1174"/>
      <c r="D5" s="1174"/>
      <c r="E5" s="1174"/>
      <c r="F5" s="1174"/>
      <c r="G5" s="1174"/>
      <c r="H5" s="1175"/>
    </row>
    <row r="6" spans="2:8" ht="15" customHeight="1" thickBot="1">
      <c r="B6" s="1176"/>
      <c r="C6" s="134"/>
      <c r="D6" s="134"/>
      <c r="E6" s="134"/>
      <c r="F6" s="134"/>
      <c r="G6" s="134"/>
      <c r="H6" s="1177"/>
    </row>
    <row r="7" spans="2:8" ht="15" thickBot="1">
      <c r="B7" s="1176"/>
      <c r="C7" s="1178" t="s">
        <v>611</v>
      </c>
      <c r="D7" s="472"/>
      <c r="E7" s="1178" t="s">
        <v>612</v>
      </c>
      <c r="F7" s="472"/>
      <c r="G7" s="1178" t="s">
        <v>613</v>
      </c>
      <c r="H7" s="1177"/>
    </row>
    <row r="8" spans="2:8" ht="15" customHeight="1">
      <c r="B8" s="1176"/>
      <c r="C8" s="134"/>
      <c r="D8" s="134"/>
      <c r="E8" s="134"/>
      <c r="F8" s="134"/>
      <c r="G8" s="134"/>
      <c r="H8" s="1177"/>
    </row>
    <row r="9" spans="2:8" ht="34.9" customHeight="1">
      <c r="B9" s="1176"/>
      <c r="C9" s="1179" t="s">
        <v>614</v>
      </c>
      <c r="D9" s="472"/>
      <c r="E9" s="1180" t="s">
        <v>615</v>
      </c>
      <c r="F9" s="472"/>
      <c r="G9" s="472"/>
      <c r="H9" s="1177"/>
    </row>
    <row r="10" spans="2:8" ht="15" customHeight="1">
      <c r="B10" s="1176"/>
      <c r="C10" s="472"/>
      <c r="D10" s="472"/>
      <c r="E10" s="134"/>
      <c r="F10" s="472"/>
      <c r="G10" s="472"/>
      <c r="H10" s="1177"/>
    </row>
    <row r="11" spans="2:8" ht="34.9" customHeight="1">
      <c r="B11" s="1176"/>
      <c r="C11" s="472"/>
      <c r="D11" s="472"/>
      <c r="E11" s="1179" t="s">
        <v>616</v>
      </c>
      <c r="F11" s="472"/>
      <c r="G11" s="1180" t="s">
        <v>617</v>
      </c>
      <c r="H11" s="1177"/>
    </row>
    <row r="12" spans="2:8" ht="15" customHeight="1">
      <c r="B12" s="1176"/>
      <c r="C12" s="472"/>
      <c r="D12" s="472"/>
      <c r="E12" s="134"/>
      <c r="F12" s="472"/>
      <c r="G12" s="472"/>
      <c r="H12" s="1177"/>
    </row>
    <row r="13" spans="2:8" ht="34.9" customHeight="1">
      <c r="B13" s="1176"/>
      <c r="C13" s="472"/>
      <c r="D13" s="472"/>
      <c r="E13" s="134"/>
      <c r="F13" s="472"/>
      <c r="G13" s="1180" t="s">
        <v>618</v>
      </c>
      <c r="H13" s="1177"/>
    </row>
    <row r="14" spans="2:8" ht="15" customHeight="1">
      <c r="B14" s="1176"/>
      <c r="C14" s="472"/>
      <c r="D14" s="472"/>
      <c r="E14" s="134"/>
      <c r="F14" s="472"/>
      <c r="G14" s="472"/>
      <c r="H14" s="1177"/>
    </row>
    <row r="15" spans="2:8" ht="34.9" customHeight="1">
      <c r="B15" s="1176"/>
      <c r="C15" s="472"/>
      <c r="D15" s="472"/>
      <c r="E15" s="134"/>
      <c r="F15" s="472"/>
      <c r="G15" s="1180" t="s">
        <v>619</v>
      </c>
      <c r="H15" s="1177"/>
    </row>
    <row r="16" spans="2:8" ht="15" customHeight="1">
      <c r="B16" s="1176"/>
      <c r="C16" s="472"/>
      <c r="D16" s="472"/>
      <c r="E16" s="134"/>
      <c r="F16" s="472"/>
      <c r="G16" s="1181"/>
      <c r="H16" s="1177"/>
    </row>
    <row r="17" spans="2:8" ht="34.9" customHeight="1">
      <c r="B17" s="1176"/>
      <c r="C17" s="472"/>
      <c r="D17" s="472"/>
      <c r="E17" s="134"/>
      <c r="F17" s="472"/>
      <c r="G17" s="1180" t="s">
        <v>620</v>
      </c>
      <c r="H17" s="1177"/>
    </row>
    <row r="18" spans="2:8" ht="15" customHeight="1">
      <c r="B18" s="1176"/>
      <c r="C18" s="472"/>
      <c r="D18" s="472"/>
      <c r="E18" s="134"/>
      <c r="F18" s="472"/>
      <c r="G18" s="1181"/>
      <c r="H18" s="1177"/>
    </row>
    <row r="19" spans="2:8" ht="34.9" customHeight="1">
      <c r="B19" s="1176"/>
      <c r="C19" s="472"/>
      <c r="D19" s="472"/>
      <c r="E19" s="134"/>
      <c r="F19" s="472"/>
      <c r="G19" s="1180" t="s">
        <v>621</v>
      </c>
      <c r="H19" s="1177"/>
    </row>
    <row r="20" spans="2:8" ht="15" customHeight="1" thickBot="1">
      <c r="B20" s="1182"/>
      <c r="C20" s="1183"/>
      <c r="D20" s="1183"/>
      <c r="E20" s="1184"/>
      <c r="F20" s="1183"/>
      <c r="G20" s="1185"/>
      <c r="H20" s="1186"/>
    </row>
  </sheetData>
  <mergeCells count="1">
    <mergeCell ref="B2:D2"/>
  </mergeCells>
  <hyperlinks>
    <hyperlink ref="E2" location="Indice!A1" display="INICIO" xr:uid="{00000000-0004-0000-0F00-000000000000}"/>
  </hyperlink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2D050"/>
  </sheetPr>
  <dimension ref="B2:P24"/>
  <sheetViews>
    <sheetView showGridLines="0" workbookViewId="0">
      <selection activeCell="E2" sqref="E2"/>
    </sheetView>
  </sheetViews>
  <sheetFormatPr defaultColWidth="11.42578125" defaultRowHeight="14.45"/>
  <cols>
    <col min="1" max="1" width="3.140625" customWidth="1"/>
    <col min="2" max="2" width="7.28515625" customWidth="1"/>
    <col min="4" max="4" width="6.7109375" customWidth="1"/>
    <col min="6" max="10" width="3.7109375" customWidth="1"/>
    <col min="11" max="11" width="20.28515625" style="118" customWidth="1"/>
    <col min="12" max="15" width="4.7109375" customWidth="1"/>
  </cols>
  <sheetData>
    <row r="2" spans="2:16" ht="13.9" customHeight="1">
      <c r="B2" s="1577" t="s">
        <v>126</v>
      </c>
      <c r="C2" s="1577"/>
      <c r="D2" s="1577"/>
      <c r="E2" s="338" t="s">
        <v>49</v>
      </c>
      <c r="K2" s="1305"/>
    </row>
    <row r="3" spans="2:16" ht="15" thickBot="1">
      <c r="K3" s="1305"/>
    </row>
    <row r="4" spans="2:16" ht="43.35" customHeight="1" thickBot="1">
      <c r="B4" s="1581"/>
      <c r="C4" s="1582"/>
      <c r="D4" s="1583"/>
      <c r="E4" s="1581" t="s">
        <v>622</v>
      </c>
      <c r="F4" s="1582"/>
      <c r="G4" s="1582"/>
      <c r="H4" s="1582"/>
      <c r="I4" s="1582"/>
      <c r="J4" s="1582"/>
      <c r="K4" s="1582"/>
      <c r="L4" s="1584" t="s">
        <v>623</v>
      </c>
      <c r="M4" s="1585"/>
      <c r="N4" s="1585"/>
      <c r="O4" s="1586"/>
      <c r="P4" s="134"/>
    </row>
    <row r="5" spans="2:16">
      <c r="B5" s="1587" t="s">
        <v>624</v>
      </c>
      <c r="C5" s="1588"/>
      <c r="D5" s="1589"/>
      <c r="E5" s="1590" t="s">
        <v>625</v>
      </c>
      <c r="F5" s="1591"/>
      <c r="G5" s="1591"/>
      <c r="H5" s="1591"/>
      <c r="I5" s="1591"/>
      <c r="J5" s="1591"/>
      <c r="K5" s="1592"/>
      <c r="L5" s="1596" t="s">
        <v>626</v>
      </c>
      <c r="M5" s="1597"/>
      <c r="N5" s="1598" t="s">
        <v>627</v>
      </c>
      <c r="O5" s="1599"/>
      <c r="P5" s="134"/>
    </row>
    <row r="6" spans="2:16" ht="15" thickBot="1">
      <c r="B6" s="1600" t="s">
        <v>628</v>
      </c>
      <c r="C6" s="1601"/>
      <c r="D6" s="1602"/>
      <c r="E6" s="1593"/>
      <c r="F6" s="1594"/>
      <c r="G6" s="1594"/>
      <c r="H6" s="1594"/>
      <c r="I6" s="1594"/>
      <c r="J6" s="1594"/>
      <c r="K6" s="1595"/>
      <c r="L6" s="1593"/>
      <c r="M6" s="1594"/>
      <c r="N6" s="1603" t="s">
        <v>629</v>
      </c>
      <c r="O6" s="1604"/>
      <c r="P6" s="134"/>
    </row>
    <row r="7" spans="2:16" ht="15" thickBot="1">
      <c r="B7" s="1578" t="s">
        <v>122</v>
      </c>
      <c r="C7" s="1578" t="s">
        <v>630</v>
      </c>
      <c r="D7" s="1578" t="s">
        <v>631</v>
      </c>
      <c r="E7" s="1587" t="s">
        <v>632</v>
      </c>
      <c r="F7" s="1587" t="s">
        <v>633</v>
      </c>
      <c r="G7" s="1611"/>
      <c r="H7" s="1611"/>
      <c r="I7" s="1611"/>
      <c r="J7" s="1611"/>
      <c r="K7" s="1578" t="s">
        <v>634</v>
      </c>
      <c r="L7" s="1578" t="s">
        <v>635</v>
      </c>
      <c r="M7" s="1578" t="s">
        <v>636</v>
      </c>
      <c r="N7" s="1580" t="s">
        <v>637</v>
      </c>
      <c r="O7" s="1580" t="s">
        <v>638</v>
      </c>
      <c r="P7" s="134"/>
    </row>
    <row r="8" spans="2:16" ht="15" thickBot="1">
      <c r="B8" s="1579"/>
      <c r="C8" s="1579"/>
      <c r="D8" s="1579"/>
      <c r="E8" s="1600"/>
      <c r="F8" s="1187">
        <v>1</v>
      </c>
      <c r="G8" s="1347">
        <v>2</v>
      </c>
      <c r="H8" s="1347">
        <v>3</v>
      </c>
      <c r="I8" s="1347">
        <v>4</v>
      </c>
      <c r="J8" s="1347">
        <v>5</v>
      </c>
      <c r="K8" s="1579"/>
      <c r="L8" s="1579"/>
      <c r="M8" s="1579"/>
      <c r="N8" s="1579"/>
      <c r="O8" s="1579"/>
      <c r="P8" s="134"/>
    </row>
    <row r="9" spans="2:16" ht="15" thickBot="1">
      <c r="B9" s="1188">
        <v>1</v>
      </c>
      <c r="C9" s="1189" t="s">
        <v>639</v>
      </c>
      <c r="D9" s="1189">
        <v>500</v>
      </c>
      <c r="E9" s="1190" t="s">
        <v>129</v>
      </c>
      <c r="F9" s="1191" t="s">
        <v>468</v>
      </c>
      <c r="G9" s="1189"/>
      <c r="H9" s="1189"/>
      <c r="I9" s="1189"/>
      <c r="J9" s="1189"/>
      <c r="K9" s="1192" t="s">
        <v>640</v>
      </c>
      <c r="L9" s="1189" t="s">
        <v>468</v>
      </c>
      <c r="M9" s="1189"/>
      <c r="N9" s="1193"/>
      <c r="O9" s="1194">
        <v>1</v>
      </c>
      <c r="P9" s="134"/>
    </row>
    <row r="10" spans="2:16" ht="15" thickBot="1">
      <c r="B10" s="1188">
        <v>2</v>
      </c>
      <c r="C10" s="1189" t="s">
        <v>641</v>
      </c>
      <c r="D10" s="1189">
        <v>1</v>
      </c>
      <c r="E10" s="1190" t="s">
        <v>129</v>
      </c>
      <c r="F10" s="1191"/>
      <c r="G10" s="1189" t="s">
        <v>468</v>
      </c>
      <c r="H10" s="1189"/>
      <c r="I10" s="1189"/>
      <c r="J10" s="1189"/>
      <c r="K10" s="1192" t="s">
        <v>642</v>
      </c>
      <c r="L10" s="1189"/>
      <c r="M10" s="1189" t="s">
        <v>468</v>
      </c>
      <c r="N10" s="1193"/>
      <c r="O10" s="1194">
        <v>2</v>
      </c>
      <c r="P10" s="134"/>
    </row>
    <row r="11" spans="2:16" ht="15" thickBot="1">
      <c r="B11" s="1188">
        <v>3</v>
      </c>
      <c r="C11" s="1189" t="s">
        <v>643</v>
      </c>
      <c r="D11" s="1189">
        <v>1</v>
      </c>
      <c r="E11" s="1190" t="s">
        <v>129</v>
      </c>
      <c r="F11" s="1191"/>
      <c r="G11" s="1189" t="s">
        <v>468</v>
      </c>
      <c r="H11" s="1189"/>
      <c r="I11" s="1189"/>
      <c r="J11" s="1189"/>
      <c r="K11" s="1192" t="s">
        <v>644</v>
      </c>
      <c r="L11" s="1189"/>
      <c r="M11" s="1189" t="s">
        <v>468</v>
      </c>
      <c r="N11" s="1193"/>
      <c r="O11" s="1194">
        <v>3</v>
      </c>
      <c r="P11" s="134"/>
    </row>
    <row r="12" spans="2:16" ht="15" thickBot="1">
      <c r="B12" s="1188">
        <v>4</v>
      </c>
      <c r="C12" s="1189" t="s">
        <v>645</v>
      </c>
      <c r="D12" s="1189">
        <v>4</v>
      </c>
      <c r="E12" s="1190" t="s">
        <v>129</v>
      </c>
      <c r="F12" s="1191"/>
      <c r="G12" s="1189" t="s">
        <v>468</v>
      </c>
      <c r="H12" s="1189"/>
      <c r="I12" s="1189"/>
      <c r="J12" s="1189"/>
      <c r="K12" s="1192" t="s">
        <v>646</v>
      </c>
      <c r="L12" s="1189"/>
      <c r="M12" s="1189" t="s">
        <v>468</v>
      </c>
      <c r="N12" s="1193"/>
      <c r="O12" s="1194">
        <v>4</v>
      </c>
      <c r="P12" s="134"/>
    </row>
    <row r="13" spans="2:16" ht="15" thickBot="1">
      <c r="B13" s="1188">
        <v>5</v>
      </c>
      <c r="C13" s="1189" t="s">
        <v>647</v>
      </c>
      <c r="D13" s="1189">
        <v>13</v>
      </c>
      <c r="E13" s="1190" t="s">
        <v>648</v>
      </c>
      <c r="F13" s="1191"/>
      <c r="G13" s="1195" t="s">
        <v>468</v>
      </c>
      <c r="H13" s="1195"/>
      <c r="I13" s="1195"/>
      <c r="J13" s="1195"/>
      <c r="K13" s="1192" t="s">
        <v>649</v>
      </c>
      <c r="L13" s="1189"/>
      <c r="M13" s="1189" t="s">
        <v>468</v>
      </c>
      <c r="N13" s="1193"/>
      <c r="O13" s="1194">
        <v>5</v>
      </c>
      <c r="P13" s="134"/>
    </row>
    <row r="14" spans="2:16" ht="15" thickBot="1">
      <c r="B14" s="1196">
        <v>6</v>
      </c>
      <c r="C14" s="1197" t="s">
        <v>650</v>
      </c>
      <c r="D14" s="1198">
        <v>23</v>
      </c>
      <c r="E14" s="1199" t="s">
        <v>648</v>
      </c>
      <c r="F14" s="1200"/>
      <c r="G14" s="1197" t="s">
        <v>468</v>
      </c>
      <c r="H14" s="1197"/>
      <c r="I14" s="1197"/>
      <c r="J14" s="1197"/>
      <c r="K14" s="1201" t="s">
        <v>651</v>
      </c>
      <c r="L14" s="1189"/>
      <c r="M14" s="1189" t="s">
        <v>468</v>
      </c>
      <c r="N14" s="1193"/>
      <c r="O14" s="1194">
        <v>6</v>
      </c>
      <c r="P14" s="134"/>
    </row>
    <row r="15" spans="2:16" ht="15" thickBot="1">
      <c r="B15" s="1605" t="s">
        <v>652</v>
      </c>
      <c r="C15" s="1606"/>
      <c r="D15" s="1606"/>
      <c r="E15" s="1606"/>
      <c r="F15" s="1606"/>
      <c r="G15" s="1606"/>
      <c r="H15" s="1606"/>
      <c r="I15" s="1606"/>
      <c r="J15" s="1606"/>
      <c r="K15" s="1607"/>
      <c r="L15" s="1608" t="s">
        <v>653</v>
      </c>
      <c r="M15" s="1609"/>
      <c r="N15" s="1609"/>
      <c r="O15" s="1610"/>
      <c r="P15" s="134"/>
    </row>
    <row r="16" spans="2:16">
      <c r="B16" s="134"/>
      <c r="C16" s="134"/>
      <c r="D16" s="134"/>
      <c r="E16" s="134"/>
      <c r="F16" s="134"/>
      <c r="G16" s="134"/>
      <c r="H16" s="134"/>
      <c r="I16" s="134"/>
      <c r="J16" s="134"/>
      <c r="K16" s="122"/>
      <c r="L16" s="134"/>
      <c r="M16" s="134"/>
      <c r="N16" s="134"/>
      <c r="O16" s="134"/>
      <c r="P16" s="134"/>
    </row>
    <row r="17" spans="2:16">
      <c r="B17" s="134"/>
      <c r="C17" s="134"/>
      <c r="D17" s="134"/>
      <c r="E17" s="134"/>
      <c r="F17" s="134"/>
      <c r="G17" s="134"/>
      <c r="H17" s="134"/>
      <c r="I17" s="134"/>
      <c r="J17" s="134"/>
      <c r="K17" s="122"/>
      <c r="L17" s="134"/>
      <c r="M17" s="134"/>
      <c r="N17" s="134"/>
      <c r="O17" s="134"/>
      <c r="P17" s="134"/>
    </row>
    <row r="18" spans="2:16">
      <c r="B18" s="134"/>
      <c r="C18" s="134"/>
      <c r="D18" s="134"/>
      <c r="E18" s="134"/>
      <c r="F18" s="134"/>
      <c r="G18" s="134"/>
      <c r="H18" s="134"/>
      <c r="I18" s="134"/>
      <c r="J18" s="134"/>
      <c r="K18" s="122"/>
      <c r="L18" s="134"/>
      <c r="M18" s="134"/>
      <c r="N18" s="134"/>
      <c r="O18" s="134"/>
      <c r="P18" s="134"/>
    </row>
    <row r="19" spans="2:16">
      <c r="B19" s="134"/>
      <c r="C19" s="134"/>
      <c r="D19" s="134"/>
      <c r="E19" s="134"/>
      <c r="F19" s="134"/>
      <c r="G19" s="134"/>
      <c r="H19" s="134"/>
      <c r="I19" s="134"/>
      <c r="J19" s="134"/>
      <c r="K19" s="122"/>
      <c r="L19" s="134"/>
      <c r="M19" s="134"/>
      <c r="N19" s="134"/>
      <c r="O19" s="134"/>
      <c r="P19" s="134"/>
    </row>
    <row r="21" spans="2:16">
      <c r="G21" s="1202"/>
      <c r="K21" s="1305"/>
    </row>
    <row r="22" spans="2:16">
      <c r="G22" s="1202"/>
      <c r="K22" s="1305"/>
    </row>
    <row r="23" spans="2:16">
      <c r="G23" s="1202"/>
      <c r="K23" s="1305"/>
    </row>
    <row r="24" spans="2:16">
      <c r="G24" s="1202"/>
      <c r="K24" s="1305"/>
    </row>
  </sheetData>
  <mergeCells count="22">
    <mergeCell ref="B15:K15"/>
    <mergeCell ref="L15:O15"/>
    <mergeCell ref="B7:B8"/>
    <mergeCell ref="C7:C8"/>
    <mergeCell ref="D7:D8"/>
    <mergeCell ref="E7:E8"/>
    <mergeCell ref="F7:J7"/>
    <mergeCell ref="K7:K8"/>
    <mergeCell ref="B2:D2"/>
    <mergeCell ref="L7:L8"/>
    <mergeCell ref="M7:M8"/>
    <mergeCell ref="N7:N8"/>
    <mergeCell ref="O7:O8"/>
    <mergeCell ref="B4:D4"/>
    <mergeCell ref="E4:K4"/>
    <mergeCell ref="L4:O4"/>
    <mergeCell ref="B5:D5"/>
    <mergeCell ref="E5:K6"/>
    <mergeCell ref="L5:M6"/>
    <mergeCell ref="N5:O5"/>
    <mergeCell ref="B6:D6"/>
    <mergeCell ref="N6:O6"/>
  </mergeCells>
  <hyperlinks>
    <hyperlink ref="E2" location="Indice!A1" display="INICIO" xr:uid="{00000000-0004-0000-1000-000000000000}"/>
  </hyperlink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92D050"/>
  </sheetPr>
  <dimension ref="B2:CB100"/>
  <sheetViews>
    <sheetView showGridLines="0" zoomScale="85" zoomScaleNormal="85" workbookViewId="0">
      <selection activeCell="BB54" sqref="BB54"/>
    </sheetView>
  </sheetViews>
  <sheetFormatPr defaultColWidth="11.42578125" defaultRowHeight="14.45"/>
  <cols>
    <col min="1" max="1" width="5.28515625" customWidth="1"/>
    <col min="2" max="2" width="23.5703125" bestFit="1" customWidth="1"/>
    <col min="3" max="4" width="11.5703125" hidden="1" customWidth="1"/>
    <col min="5" max="8" width="12.140625" hidden="1" customWidth="1"/>
    <col min="9" max="14" width="13.28515625" hidden="1" customWidth="1"/>
    <col min="15" max="15" width="12.85546875" customWidth="1"/>
    <col min="16" max="16" width="12.140625" hidden="1" customWidth="1"/>
    <col min="17" max="26" width="11.5703125" hidden="1" customWidth="1"/>
    <col min="27" max="27" width="11.7109375" hidden="1" customWidth="1"/>
    <col min="28" max="28" width="14.7109375" customWidth="1"/>
    <col min="29" max="29" width="12.140625" hidden="1" customWidth="1"/>
    <col min="30" max="30" width="13.28515625" hidden="1" customWidth="1"/>
    <col min="31" max="35" width="11.5703125" hidden="1" customWidth="1"/>
    <col min="36" max="40" width="12.7109375" hidden="1" customWidth="1"/>
    <col min="41" max="41" width="14.7109375" customWidth="1"/>
    <col min="42" max="52" width="12.7109375" hidden="1" customWidth="1"/>
    <col min="53" max="53" width="11.7109375" hidden="1" customWidth="1"/>
    <col min="54" max="54" width="14.42578125" customWidth="1"/>
    <col min="55" max="56" width="12.7109375" hidden="1" customWidth="1"/>
    <col min="57" max="65" width="13.28515625" hidden="1" customWidth="1"/>
    <col min="66" max="66" width="11.7109375" hidden="1" customWidth="1"/>
    <col min="67" max="67" width="14.7109375" bestFit="1" customWidth="1"/>
    <col min="69" max="69" width="21.42578125" bestFit="1" customWidth="1"/>
    <col min="70" max="70" width="15.7109375" bestFit="1" customWidth="1"/>
    <col min="71" max="71" width="17.7109375" bestFit="1" customWidth="1"/>
    <col min="77" max="77" width="15.7109375" bestFit="1" customWidth="1"/>
    <col min="78" max="78" width="15.7109375" customWidth="1"/>
    <col min="79" max="80" width="15.7109375" bestFit="1" customWidth="1"/>
  </cols>
  <sheetData>
    <row r="2" spans="2:80">
      <c r="B2" s="1305" t="s">
        <v>126</v>
      </c>
      <c r="C2" s="461" t="s">
        <v>49</v>
      </c>
    </row>
    <row r="3" spans="2:80" ht="15" thickBot="1"/>
    <row r="4" spans="2:80" ht="15" thickBot="1">
      <c r="B4" s="449" t="s">
        <v>50</v>
      </c>
      <c r="C4" s="1469">
        <v>2024</v>
      </c>
      <c r="D4" s="1470"/>
      <c r="E4" s="1470"/>
      <c r="F4" s="1470"/>
      <c r="G4" s="1470"/>
      <c r="H4" s="1470"/>
      <c r="I4" s="1470"/>
      <c r="J4" s="1470"/>
      <c r="K4" s="1470"/>
      <c r="L4" s="1470"/>
      <c r="M4" s="1470"/>
      <c r="N4" s="1470"/>
      <c r="O4" s="1471"/>
      <c r="P4" s="1469">
        <v>2025</v>
      </c>
      <c r="Q4" s="1470"/>
      <c r="R4" s="1470"/>
      <c r="S4" s="1470"/>
      <c r="T4" s="1470"/>
      <c r="U4" s="1470"/>
      <c r="V4" s="1470"/>
      <c r="W4" s="1470"/>
      <c r="X4" s="1470"/>
      <c r="Y4" s="1470"/>
      <c r="Z4" s="1470"/>
      <c r="AA4" s="1470"/>
      <c r="AB4" s="1471"/>
      <c r="AC4" s="1469">
        <v>2026</v>
      </c>
      <c r="AD4" s="1470"/>
      <c r="AE4" s="1470"/>
      <c r="AF4" s="1470"/>
      <c r="AG4" s="1470"/>
      <c r="AH4" s="1470"/>
      <c r="AI4" s="1470"/>
      <c r="AJ4" s="1470"/>
      <c r="AK4" s="1470"/>
      <c r="AL4" s="1470"/>
      <c r="AM4" s="1470"/>
      <c r="AN4" s="1470"/>
      <c r="AO4" s="1471"/>
      <c r="AP4" s="1469">
        <v>2027</v>
      </c>
      <c r="AQ4" s="1470"/>
      <c r="AR4" s="1470"/>
      <c r="AS4" s="1470"/>
      <c r="AT4" s="1470"/>
      <c r="AU4" s="1470"/>
      <c r="AV4" s="1470"/>
      <c r="AW4" s="1470"/>
      <c r="AX4" s="1470"/>
      <c r="AY4" s="1470"/>
      <c r="AZ4" s="1470"/>
      <c r="BA4" s="1470"/>
      <c r="BB4" s="1471"/>
      <c r="BC4" s="1469">
        <v>2028</v>
      </c>
      <c r="BD4" s="1470"/>
      <c r="BE4" s="1470"/>
      <c r="BF4" s="1470"/>
      <c r="BG4" s="1470"/>
      <c r="BH4" s="1470"/>
      <c r="BI4" s="1470"/>
      <c r="BJ4" s="1470"/>
      <c r="BK4" s="1470"/>
      <c r="BL4" s="1470"/>
      <c r="BM4" s="1470"/>
      <c r="BN4" s="1470"/>
      <c r="BO4" s="1471"/>
      <c r="BQ4" s="1318" t="s">
        <v>345</v>
      </c>
      <c r="BR4" s="1319" t="s">
        <v>227</v>
      </c>
      <c r="BS4" s="492" t="s">
        <v>129</v>
      </c>
      <c r="BY4" s="380" t="s">
        <v>345</v>
      </c>
      <c r="BZ4" s="379" t="s">
        <v>227</v>
      </c>
      <c r="CA4" s="379" t="s">
        <v>654</v>
      </c>
      <c r="CB4" s="378" t="s">
        <v>147</v>
      </c>
    </row>
    <row r="5" spans="2:80" ht="15" thickBot="1">
      <c r="B5" s="448"/>
      <c r="C5" s="87" t="s">
        <v>53</v>
      </c>
      <c r="D5" s="445" t="s">
        <v>54</v>
      </c>
      <c r="E5" s="445" t="s">
        <v>55</v>
      </c>
      <c r="F5" s="445" t="s">
        <v>56</v>
      </c>
      <c r="G5" s="445" t="s">
        <v>57</v>
      </c>
      <c r="H5" s="445" t="s">
        <v>58</v>
      </c>
      <c r="I5" s="445" t="s">
        <v>59</v>
      </c>
      <c r="J5" s="445" t="s">
        <v>60</v>
      </c>
      <c r="K5" s="445" t="s">
        <v>61</v>
      </c>
      <c r="L5" s="445" t="s">
        <v>62</v>
      </c>
      <c r="M5" s="445" t="s">
        <v>63</v>
      </c>
      <c r="N5" s="447" t="s">
        <v>64</v>
      </c>
      <c r="O5" s="446" t="s">
        <v>476</v>
      </c>
      <c r="P5" s="87" t="s">
        <v>53</v>
      </c>
      <c r="Q5" s="445" t="s">
        <v>54</v>
      </c>
      <c r="R5" s="445" t="s">
        <v>55</v>
      </c>
      <c r="S5" s="445" t="s">
        <v>56</v>
      </c>
      <c r="T5" s="445" t="s">
        <v>57</v>
      </c>
      <c r="U5" s="445" t="s">
        <v>58</v>
      </c>
      <c r="V5" s="445" t="s">
        <v>59</v>
      </c>
      <c r="W5" s="445" t="s">
        <v>60</v>
      </c>
      <c r="X5" s="445" t="s">
        <v>61</v>
      </c>
      <c r="Y5" s="445" t="s">
        <v>62</v>
      </c>
      <c r="Z5" s="445" t="s">
        <v>63</v>
      </c>
      <c r="AA5" s="444" t="s">
        <v>64</v>
      </c>
      <c r="AB5" s="443" t="s">
        <v>476</v>
      </c>
      <c r="AC5" s="87" t="s">
        <v>53</v>
      </c>
      <c r="AD5" s="445" t="s">
        <v>54</v>
      </c>
      <c r="AE5" s="445" t="s">
        <v>55</v>
      </c>
      <c r="AF5" s="445" t="s">
        <v>56</v>
      </c>
      <c r="AG5" s="445" t="s">
        <v>57</v>
      </c>
      <c r="AH5" s="445" t="s">
        <v>58</v>
      </c>
      <c r="AI5" s="445" t="s">
        <v>59</v>
      </c>
      <c r="AJ5" s="445" t="s">
        <v>60</v>
      </c>
      <c r="AK5" s="445" t="s">
        <v>61</v>
      </c>
      <c r="AL5" s="445" t="s">
        <v>62</v>
      </c>
      <c r="AM5" s="445" t="s">
        <v>63</v>
      </c>
      <c r="AN5" s="444" t="s">
        <v>64</v>
      </c>
      <c r="AO5" s="443" t="s">
        <v>476</v>
      </c>
      <c r="AP5" s="87" t="s">
        <v>53</v>
      </c>
      <c r="AQ5" s="445" t="s">
        <v>54</v>
      </c>
      <c r="AR5" s="445" t="s">
        <v>55</v>
      </c>
      <c r="AS5" s="445" t="s">
        <v>56</v>
      </c>
      <c r="AT5" s="445" t="s">
        <v>57</v>
      </c>
      <c r="AU5" s="445" t="s">
        <v>58</v>
      </c>
      <c r="AV5" s="445" t="s">
        <v>59</v>
      </c>
      <c r="AW5" s="445" t="s">
        <v>60</v>
      </c>
      <c r="AX5" s="445" t="s">
        <v>61</v>
      </c>
      <c r="AY5" s="445" t="s">
        <v>62</v>
      </c>
      <c r="AZ5" s="445" t="s">
        <v>63</v>
      </c>
      <c r="BA5" s="444" t="s">
        <v>64</v>
      </c>
      <c r="BB5" s="443" t="s">
        <v>476</v>
      </c>
      <c r="BC5" s="87" t="s">
        <v>53</v>
      </c>
      <c r="BD5" s="445" t="s">
        <v>54</v>
      </c>
      <c r="BE5" s="445" t="s">
        <v>55</v>
      </c>
      <c r="BF5" s="445" t="s">
        <v>56</v>
      </c>
      <c r="BG5" s="445" t="s">
        <v>57</v>
      </c>
      <c r="BH5" s="445" t="s">
        <v>58</v>
      </c>
      <c r="BI5" s="445" t="s">
        <v>59</v>
      </c>
      <c r="BJ5" s="445" t="s">
        <v>60</v>
      </c>
      <c r="BK5" s="445" t="s">
        <v>61</v>
      </c>
      <c r="BL5" s="445" t="s">
        <v>62</v>
      </c>
      <c r="BM5" s="445" t="s">
        <v>63</v>
      </c>
      <c r="BN5" s="444" t="s">
        <v>64</v>
      </c>
      <c r="BO5" s="443" t="s">
        <v>476</v>
      </c>
      <c r="BQ5" s="261" t="s">
        <v>655</v>
      </c>
      <c r="BR5" s="131">
        <v>250</v>
      </c>
      <c r="BS5" s="45" t="s">
        <v>483</v>
      </c>
      <c r="BY5" s="51" t="s">
        <v>656</v>
      </c>
      <c r="BZ5" s="1360">
        <v>2</v>
      </c>
      <c r="CA5" s="212">
        <f>'3.7 - Costos MOD'!$E$65</f>
        <v>18705278.056403253</v>
      </c>
      <c r="CB5" s="235">
        <f>BZ5*CA5</f>
        <v>37410556.112806506</v>
      </c>
    </row>
    <row r="6" spans="2:80" ht="15" thickBot="1">
      <c r="B6" s="426" t="s">
        <v>657</v>
      </c>
      <c r="C6" s="442">
        <v>21</v>
      </c>
      <c r="D6" s="442">
        <v>20</v>
      </c>
      <c r="E6" s="442">
        <v>22</v>
      </c>
      <c r="F6" s="442">
        <v>20</v>
      </c>
      <c r="G6" s="442">
        <v>21</v>
      </c>
      <c r="H6" s="442">
        <v>20</v>
      </c>
      <c r="I6" s="442">
        <v>20</v>
      </c>
      <c r="J6" s="442">
        <v>22</v>
      </c>
      <c r="K6" s="442">
        <v>21</v>
      </c>
      <c r="L6" s="442">
        <v>21</v>
      </c>
      <c r="M6" s="442">
        <v>20</v>
      </c>
      <c r="N6" s="441">
        <v>22</v>
      </c>
      <c r="O6" s="430">
        <f>SUM(C6:N6)</f>
        <v>250</v>
      </c>
      <c r="P6" s="439">
        <v>21</v>
      </c>
      <c r="Q6" s="438">
        <v>20</v>
      </c>
      <c r="R6" s="438">
        <v>22</v>
      </c>
      <c r="S6" s="438">
        <v>20</v>
      </c>
      <c r="T6" s="438">
        <v>21</v>
      </c>
      <c r="U6" s="438">
        <v>20</v>
      </c>
      <c r="V6" s="438">
        <v>20</v>
      </c>
      <c r="W6" s="438">
        <v>22</v>
      </c>
      <c r="X6" s="438">
        <v>21</v>
      </c>
      <c r="Y6" s="438">
        <v>21</v>
      </c>
      <c r="Z6" s="438">
        <v>20</v>
      </c>
      <c r="AA6" s="437">
        <v>22</v>
      </c>
      <c r="AB6" s="430">
        <f>SUM(P6:AA6)</f>
        <v>250</v>
      </c>
      <c r="AC6" s="439">
        <v>21</v>
      </c>
      <c r="AD6" s="438">
        <v>20</v>
      </c>
      <c r="AE6" s="438">
        <v>22</v>
      </c>
      <c r="AF6" s="438">
        <v>20</v>
      </c>
      <c r="AG6" s="438">
        <v>21</v>
      </c>
      <c r="AH6" s="438">
        <v>20</v>
      </c>
      <c r="AI6" s="438">
        <v>20</v>
      </c>
      <c r="AJ6" s="438">
        <v>22</v>
      </c>
      <c r="AK6" s="438">
        <v>21</v>
      </c>
      <c r="AL6" s="438">
        <v>21</v>
      </c>
      <c r="AM6" s="438">
        <v>20</v>
      </c>
      <c r="AN6" s="437">
        <v>22</v>
      </c>
      <c r="AO6" s="440">
        <f>SUM(AC6:AN6)</f>
        <v>250</v>
      </c>
      <c r="AP6" s="439">
        <v>21</v>
      </c>
      <c r="AQ6" s="438">
        <v>20</v>
      </c>
      <c r="AR6" s="438">
        <v>22</v>
      </c>
      <c r="AS6" s="438">
        <v>20</v>
      </c>
      <c r="AT6" s="438">
        <v>21</v>
      </c>
      <c r="AU6" s="438">
        <v>20</v>
      </c>
      <c r="AV6" s="438">
        <v>20</v>
      </c>
      <c r="AW6" s="438">
        <v>22</v>
      </c>
      <c r="AX6" s="438">
        <v>21</v>
      </c>
      <c r="AY6" s="438">
        <v>21</v>
      </c>
      <c r="AZ6" s="438">
        <v>20</v>
      </c>
      <c r="BA6" s="437">
        <v>22</v>
      </c>
      <c r="BB6" s="430">
        <f>SUM(AP6:BA6)</f>
        <v>250</v>
      </c>
      <c r="BC6" s="433">
        <v>21</v>
      </c>
      <c r="BD6" s="436">
        <v>20</v>
      </c>
      <c r="BE6" s="436">
        <v>22</v>
      </c>
      <c r="BF6" s="436">
        <v>20</v>
      </c>
      <c r="BG6" s="436">
        <v>21</v>
      </c>
      <c r="BH6" s="436">
        <v>20</v>
      </c>
      <c r="BI6" s="436">
        <v>20</v>
      </c>
      <c r="BJ6" s="436">
        <v>22</v>
      </c>
      <c r="BK6" s="436">
        <v>21</v>
      </c>
      <c r="BL6" s="436">
        <v>21</v>
      </c>
      <c r="BM6" s="436">
        <v>20</v>
      </c>
      <c r="BN6" s="436">
        <v>22</v>
      </c>
      <c r="BO6" s="427">
        <f>SUM(BC6:BN6)</f>
        <v>250</v>
      </c>
      <c r="BQ6" s="1359" t="s">
        <v>475</v>
      </c>
      <c r="BR6" s="1360">
        <v>2.15</v>
      </c>
      <c r="BS6" s="4" t="s">
        <v>658</v>
      </c>
      <c r="BY6" s="32" t="s">
        <v>659</v>
      </c>
      <c r="BZ6" s="1367">
        <v>1</v>
      </c>
      <c r="CA6" s="215">
        <f>'3.7 - Costos MOD'!$E$66</f>
        <v>19542041.095022555</v>
      </c>
      <c r="CB6" s="246">
        <f>BZ6*CA6</f>
        <v>19542041.095022555</v>
      </c>
    </row>
    <row r="7" spans="2:80" ht="15" thickBot="1">
      <c r="B7" s="426" t="s">
        <v>660</v>
      </c>
      <c r="C7" s="435">
        <v>1</v>
      </c>
      <c r="D7" s="435">
        <v>1</v>
      </c>
      <c r="E7" s="435">
        <v>1</v>
      </c>
      <c r="F7" s="435">
        <v>1</v>
      </c>
      <c r="G7" s="435">
        <v>1</v>
      </c>
      <c r="H7" s="435">
        <v>1</v>
      </c>
      <c r="I7" s="435">
        <v>1</v>
      </c>
      <c r="J7" s="435">
        <v>1</v>
      </c>
      <c r="K7" s="435">
        <v>1</v>
      </c>
      <c r="L7" s="435">
        <v>1</v>
      </c>
      <c r="M7" s="435">
        <v>1</v>
      </c>
      <c r="N7" s="435">
        <v>1</v>
      </c>
      <c r="O7" s="430" t="s">
        <v>249</v>
      </c>
      <c r="P7" s="413">
        <v>2</v>
      </c>
      <c r="Q7" s="46">
        <v>2</v>
      </c>
      <c r="R7" s="46">
        <v>2</v>
      </c>
      <c r="S7" s="46">
        <v>2</v>
      </c>
      <c r="T7" s="46">
        <v>2</v>
      </c>
      <c r="U7" s="46">
        <v>2</v>
      </c>
      <c r="V7" s="46">
        <v>2</v>
      </c>
      <c r="W7" s="46">
        <v>2</v>
      </c>
      <c r="X7" s="46">
        <v>2</v>
      </c>
      <c r="Y7" s="46">
        <v>2</v>
      </c>
      <c r="Z7" s="46">
        <v>2</v>
      </c>
      <c r="AA7" s="77">
        <v>2</v>
      </c>
      <c r="AB7" s="430" t="s">
        <v>249</v>
      </c>
      <c r="AC7" s="413">
        <v>2</v>
      </c>
      <c r="AD7" s="46">
        <v>2</v>
      </c>
      <c r="AE7" s="46">
        <v>2</v>
      </c>
      <c r="AF7" s="46">
        <v>2</v>
      </c>
      <c r="AG7" s="46">
        <v>2</v>
      </c>
      <c r="AH7" s="46">
        <v>2</v>
      </c>
      <c r="AI7" s="46">
        <v>2</v>
      </c>
      <c r="AJ7" s="46">
        <v>2</v>
      </c>
      <c r="AK7" s="46">
        <v>2</v>
      </c>
      <c r="AL7" s="46">
        <v>2</v>
      </c>
      <c r="AM7" s="46">
        <v>2</v>
      </c>
      <c r="AN7" s="77">
        <v>2</v>
      </c>
      <c r="AO7" s="430" t="s">
        <v>249</v>
      </c>
      <c r="AP7" s="413">
        <v>2</v>
      </c>
      <c r="AQ7" s="46">
        <v>2</v>
      </c>
      <c r="AR7" s="46">
        <v>2</v>
      </c>
      <c r="AS7" s="46">
        <v>2</v>
      </c>
      <c r="AT7" s="46">
        <v>2</v>
      </c>
      <c r="AU7" s="46">
        <v>2</v>
      </c>
      <c r="AV7" s="46">
        <v>2</v>
      </c>
      <c r="AW7" s="46">
        <v>2</v>
      </c>
      <c r="AX7" s="46">
        <v>2</v>
      </c>
      <c r="AY7" s="46">
        <v>2</v>
      </c>
      <c r="AZ7" s="46">
        <v>2</v>
      </c>
      <c r="BA7" s="77">
        <v>2</v>
      </c>
      <c r="BB7" s="430" t="s">
        <v>249</v>
      </c>
      <c r="BC7" s="429">
        <v>3</v>
      </c>
      <c r="BD7" s="429">
        <v>3</v>
      </c>
      <c r="BE7" s="429">
        <v>3</v>
      </c>
      <c r="BF7" s="429">
        <v>3</v>
      </c>
      <c r="BG7" s="429">
        <v>3</v>
      </c>
      <c r="BH7" s="429">
        <v>3</v>
      </c>
      <c r="BI7" s="429">
        <v>3</v>
      </c>
      <c r="BJ7" s="429">
        <v>3</v>
      </c>
      <c r="BK7" s="429">
        <v>3</v>
      </c>
      <c r="BL7" s="429">
        <v>3</v>
      </c>
      <c r="BM7" s="429">
        <v>3</v>
      </c>
      <c r="BN7" s="429">
        <v>3</v>
      </c>
      <c r="BO7" s="427" t="s">
        <v>249</v>
      </c>
      <c r="BQ7" s="1359" t="s">
        <v>661</v>
      </c>
      <c r="BR7" s="1360">
        <f>BR6/BR5</f>
        <v>8.6E-3</v>
      </c>
      <c r="BS7" s="4" t="s">
        <v>131</v>
      </c>
      <c r="CA7" s="1364" t="s">
        <v>147</v>
      </c>
      <c r="CB7" s="454">
        <f>SUM(CB5:CB6)</f>
        <v>56952597.207829058</v>
      </c>
    </row>
    <row r="8" spans="2:80">
      <c r="B8" s="426" t="s">
        <v>662</v>
      </c>
      <c r="C8" s="435">
        <v>8</v>
      </c>
      <c r="D8" s="435">
        <v>8</v>
      </c>
      <c r="E8" s="435">
        <v>8</v>
      </c>
      <c r="F8" s="435">
        <v>8</v>
      </c>
      <c r="G8" s="435">
        <v>8</v>
      </c>
      <c r="H8" s="435">
        <v>8</v>
      </c>
      <c r="I8" s="435">
        <v>8</v>
      </c>
      <c r="J8" s="435">
        <v>8</v>
      </c>
      <c r="K8" s="435">
        <v>8</v>
      </c>
      <c r="L8" s="435">
        <v>8</v>
      </c>
      <c r="M8" s="435">
        <v>8</v>
      </c>
      <c r="N8" s="434">
        <v>8</v>
      </c>
      <c r="O8" s="430" t="s">
        <v>249</v>
      </c>
      <c r="P8" s="413">
        <v>8</v>
      </c>
      <c r="Q8" s="46">
        <v>8</v>
      </c>
      <c r="R8" s="46">
        <v>8</v>
      </c>
      <c r="S8" s="46">
        <v>8</v>
      </c>
      <c r="T8" s="46">
        <v>8</v>
      </c>
      <c r="U8" s="46">
        <v>8</v>
      </c>
      <c r="V8" s="46">
        <v>8</v>
      </c>
      <c r="W8" s="46">
        <v>8</v>
      </c>
      <c r="X8" s="46">
        <v>8</v>
      </c>
      <c r="Y8" s="46">
        <v>8</v>
      </c>
      <c r="Z8" s="46">
        <v>8</v>
      </c>
      <c r="AA8" s="77">
        <v>8</v>
      </c>
      <c r="AB8" s="430" t="s">
        <v>249</v>
      </c>
      <c r="AC8" s="413">
        <v>8</v>
      </c>
      <c r="AD8" s="46">
        <v>8</v>
      </c>
      <c r="AE8" s="46">
        <v>8</v>
      </c>
      <c r="AF8" s="46">
        <v>8</v>
      </c>
      <c r="AG8" s="46">
        <v>8</v>
      </c>
      <c r="AH8" s="46">
        <v>8</v>
      </c>
      <c r="AI8" s="46">
        <v>8</v>
      </c>
      <c r="AJ8" s="46">
        <v>8</v>
      </c>
      <c r="AK8" s="46">
        <v>8</v>
      </c>
      <c r="AL8" s="46">
        <v>8</v>
      </c>
      <c r="AM8" s="46">
        <v>8</v>
      </c>
      <c r="AN8" s="77">
        <v>8</v>
      </c>
      <c r="AO8" s="430" t="s">
        <v>249</v>
      </c>
      <c r="AP8" s="413">
        <v>8</v>
      </c>
      <c r="AQ8" s="46">
        <v>8</v>
      </c>
      <c r="AR8" s="46">
        <v>8</v>
      </c>
      <c r="AS8" s="46">
        <v>8</v>
      </c>
      <c r="AT8" s="46">
        <v>8</v>
      </c>
      <c r="AU8" s="46">
        <v>8</v>
      </c>
      <c r="AV8" s="46">
        <v>8</v>
      </c>
      <c r="AW8" s="46">
        <v>8</v>
      </c>
      <c r="AX8" s="46">
        <v>8</v>
      </c>
      <c r="AY8" s="46">
        <v>8</v>
      </c>
      <c r="AZ8" s="46">
        <v>8</v>
      </c>
      <c r="BA8" s="77">
        <v>8</v>
      </c>
      <c r="BB8" s="430" t="s">
        <v>249</v>
      </c>
      <c r="BC8" s="429">
        <v>8</v>
      </c>
      <c r="BD8" s="428">
        <v>8</v>
      </c>
      <c r="BE8" s="428">
        <v>8</v>
      </c>
      <c r="BF8" s="428">
        <v>8</v>
      </c>
      <c r="BG8" s="428">
        <v>8</v>
      </c>
      <c r="BH8" s="428">
        <v>8</v>
      </c>
      <c r="BI8" s="428">
        <v>8</v>
      </c>
      <c r="BJ8" s="428">
        <v>8</v>
      </c>
      <c r="BK8" s="428">
        <v>8</v>
      </c>
      <c r="BL8" s="428">
        <v>8</v>
      </c>
      <c r="BM8" s="428">
        <v>8</v>
      </c>
      <c r="BN8" s="428">
        <v>8</v>
      </c>
      <c r="BO8" s="427" t="s">
        <v>249</v>
      </c>
      <c r="BQ8" s="1359" t="s">
        <v>663</v>
      </c>
      <c r="BR8" s="193">
        <v>551</v>
      </c>
      <c r="BS8" s="4" t="s">
        <v>664</v>
      </c>
    </row>
    <row r="9" spans="2:80">
      <c r="B9" s="426" t="s">
        <v>665</v>
      </c>
      <c r="C9" s="435">
        <f t="shared" ref="C9:N9" si="0">C8*C7*C6</f>
        <v>168</v>
      </c>
      <c r="D9" s="435">
        <f t="shared" si="0"/>
        <v>160</v>
      </c>
      <c r="E9" s="435">
        <f t="shared" si="0"/>
        <v>176</v>
      </c>
      <c r="F9" s="435">
        <f t="shared" si="0"/>
        <v>160</v>
      </c>
      <c r="G9" s="435">
        <f t="shared" si="0"/>
        <v>168</v>
      </c>
      <c r="H9" s="435">
        <f t="shared" si="0"/>
        <v>160</v>
      </c>
      <c r="I9" s="435">
        <f t="shared" si="0"/>
        <v>160</v>
      </c>
      <c r="J9" s="435">
        <f t="shared" si="0"/>
        <v>176</v>
      </c>
      <c r="K9" s="435">
        <f t="shared" si="0"/>
        <v>168</v>
      </c>
      <c r="L9" s="435">
        <f t="shared" si="0"/>
        <v>168</v>
      </c>
      <c r="M9" s="435">
        <f t="shared" si="0"/>
        <v>160</v>
      </c>
      <c r="N9" s="435">
        <f t="shared" si="0"/>
        <v>176</v>
      </c>
      <c r="O9" s="430">
        <f>SUM(C9:N9)</f>
        <v>2000</v>
      </c>
      <c r="P9" s="413">
        <f t="shared" ref="P9:AA9" si="1">P6*P7*P8</f>
        <v>336</v>
      </c>
      <c r="Q9" s="46">
        <f t="shared" si="1"/>
        <v>320</v>
      </c>
      <c r="R9" s="46">
        <f t="shared" si="1"/>
        <v>352</v>
      </c>
      <c r="S9" s="46">
        <f t="shared" si="1"/>
        <v>320</v>
      </c>
      <c r="T9" s="46">
        <f t="shared" si="1"/>
        <v>336</v>
      </c>
      <c r="U9" s="46">
        <f t="shared" si="1"/>
        <v>320</v>
      </c>
      <c r="V9" s="46">
        <f t="shared" si="1"/>
        <v>320</v>
      </c>
      <c r="W9" s="46">
        <f t="shared" si="1"/>
        <v>352</v>
      </c>
      <c r="X9" s="46">
        <f t="shared" si="1"/>
        <v>336</v>
      </c>
      <c r="Y9" s="46">
        <f t="shared" si="1"/>
        <v>336</v>
      </c>
      <c r="Z9" s="46">
        <f t="shared" si="1"/>
        <v>320</v>
      </c>
      <c r="AA9" s="77">
        <f t="shared" si="1"/>
        <v>352</v>
      </c>
      <c r="AB9" s="430">
        <f>SUM(P9:AA9)</f>
        <v>4000</v>
      </c>
      <c r="AC9" s="433">
        <f t="shared" ref="AC9:AN9" si="2">AC6*AC7*AC8</f>
        <v>336</v>
      </c>
      <c r="AD9" s="433">
        <f t="shared" si="2"/>
        <v>320</v>
      </c>
      <c r="AE9" s="433">
        <f t="shared" si="2"/>
        <v>352</v>
      </c>
      <c r="AF9" s="433">
        <f t="shared" si="2"/>
        <v>320</v>
      </c>
      <c r="AG9" s="433">
        <f t="shared" si="2"/>
        <v>336</v>
      </c>
      <c r="AH9" s="433">
        <f t="shared" si="2"/>
        <v>320</v>
      </c>
      <c r="AI9" s="433">
        <f t="shared" si="2"/>
        <v>320</v>
      </c>
      <c r="AJ9" s="433">
        <f t="shared" si="2"/>
        <v>352</v>
      </c>
      <c r="AK9" s="433">
        <f t="shared" si="2"/>
        <v>336</v>
      </c>
      <c r="AL9" s="433">
        <f t="shared" si="2"/>
        <v>336</v>
      </c>
      <c r="AM9" s="433">
        <f t="shared" si="2"/>
        <v>320</v>
      </c>
      <c r="AN9" s="433">
        <f t="shared" si="2"/>
        <v>352</v>
      </c>
      <c r="AO9" s="430">
        <f>SUM(AC9:AN9)</f>
        <v>4000</v>
      </c>
      <c r="AP9" s="429">
        <f t="shared" ref="AP9:BA9" si="3">AP6*AP7*AP8</f>
        <v>336</v>
      </c>
      <c r="AQ9" s="428">
        <f t="shared" si="3"/>
        <v>320</v>
      </c>
      <c r="AR9" s="428">
        <f t="shared" si="3"/>
        <v>352</v>
      </c>
      <c r="AS9" s="428">
        <f t="shared" si="3"/>
        <v>320</v>
      </c>
      <c r="AT9" s="428">
        <f t="shared" si="3"/>
        <v>336</v>
      </c>
      <c r="AU9" s="428">
        <f t="shared" si="3"/>
        <v>320</v>
      </c>
      <c r="AV9" s="428">
        <f t="shared" si="3"/>
        <v>320</v>
      </c>
      <c r="AW9" s="428">
        <f t="shared" si="3"/>
        <v>352</v>
      </c>
      <c r="AX9" s="428">
        <f t="shared" si="3"/>
        <v>336</v>
      </c>
      <c r="AY9" s="428">
        <f t="shared" si="3"/>
        <v>336</v>
      </c>
      <c r="AZ9" s="428">
        <f t="shared" si="3"/>
        <v>320</v>
      </c>
      <c r="BA9" s="431">
        <f t="shared" si="3"/>
        <v>352</v>
      </c>
      <c r="BB9" s="430">
        <f>SUM(AP9:BA9)</f>
        <v>4000</v>
      </c>
      <c r="BC9" s="429">
        <f t="shared" ref="BC9:BN9" si="4">BC6*BC7*BC8</f>
        <v>504</v>
      </c>
      <c r="BD9" s="428">
        <f t="shared" si="4"/>
        <v>480</v>
      </c>
      <c r="BE9" s="428">
        <f t="shared" si="4"/>
        <v>528</v>
      </c>
      <c r="BF9" s="428">
        <f t="shared" si="4"/>
        <v>480</v>
      </c>
      <c r="BG9" s="428">
        <f t="shared" si="4"/>
        <v>504</v>
      </c>
      <c r="BH9" s="428">
        <f t="shared" si="4"/>
        <v>480</v>
      </c>
      <c r="BI9" s="428">
        <f t="shared" si="4"/>
        <v>480</v>
      </c>
      <c r="BJ9" s="428">
        <f t="shared" si="4"/>
        <v>528</v>
      </c>
      <c r="BK9" s="428">
        <f t="shared" si="4"/>
        <v>504</v>
      </c>
      <c r="BL9" s="428">
        <f t="shared" si="4"/>
        <v>504</v>
      </c>
      <c r="BM9" s="428">
        <f t="shared" si="4"/>
        <v>480</v>
      </c>
      <c r="BN9" s="428">
        <f t="shared" si="4"/>
        <v>528</v>
      </c>
      <c r="BO9" s="427">
        <f>SUM(BC9:BN9)</f>
        <v>6000</v>
      </c>
      <c r="BQ9" s="1359" t="s">
        <v>666</v>
      </c>
      <c r="BR9" s="48">
        <v>0.5</v>
      </c>
      <c r="BS9" s="4" t="s">
        <v>139</v>
      </c>
      <c r="BU9" t="s">
        <v>667</v>
      </c>
    </row>
    <row r="10" spans="2:80">
      <c r="B10" s="426" t="s">
        <v>668</v>
      </c>
      <c r="C10" s="435">
        <v>1</v>
      </c>
      <c r="D10" s="435">
        <v>1</v>
      </c>
      <c r="E10" s="435">
        <v>1</v>
      </c>
      <c r="F10" s="435">
        <v>1</v>
      </c>
      <c r="G10" s="435">
        <v>1</v>
      </c>
      <c r="H10" s="435">
        <v>1</v>
      </c>
      <c r="I10" s="435">
        <v>1</v>
      </c>
      <c r="J10" s="435">
        <v>1</v>
      </c>
      <c r="K10" s="435">
        <v>1</v>
      </c>
      <c r="L10" s="435">
        <v>1</v>
      </c>
      <c r="M10" s="435">
        <v>1</v>
      </c>
      <c r="N10" s="434">
        <v>1</v>
      </c>
      <c r="O10" s="430" t="s">
        <v>249</v>
      </c>
      <c r="P10" s="413">
        <v>1</v>
      </c>
      <c r="Q10" s="46">
        <v>1</v>
      </c>
      <c r="R10" s="46">
        <v>1</v>
      </c>
      <c r="S10" s="46">
        <v>1</v>
      </c>
      <c r="T10" s="46">
        <v>1</v>
      </c>
      <c r="U10" s="46">
        <v>1</v>
      </c>
      <c r="V10" s="46">
        <v>1</v>
      </c>
      <c r="W10" s="46">
        <v>1</v>
      </c>
      <c r="X10" s="46">
        <v>1</v>
      </c>
      <c r="Y10" s="46">
        <v>1</v>
      </c>
      <c r="Z10" s="46">
        <v>1</v>
      </c>
      <c r="AA10" s="77">
        <v>1</v>
      </c>
      <c r="AB10" s="430" t="s">
        <v>249</v>
      </c>
      <c r="AC10" s="433">
        <v>2</v>
      </c>
      <c r="AD10" s="433">
        <v>2</v>
      </c>
      <c r="AE10" s="433">
        <v>2</v>
      </c>
      <c r="AF10" s="433">
        <v>2</v>
      </c>
      <c r="AG10" s="433">
        <v>2</v>
      </c>
      <c r="AH10" s="433">
        <v>2</v>
      </c>
      <c r="AI10" s="433">
        <v>2</v>
      </c>
      <c r="AJ10" s="433">
        <v>2</v>
      </c>
      <c r="AK10" s="433">
        <v>2</v>
      </c>
      <c r="AL10" s="433">
        <v>2</v>
      </c>
      <c r="AM10" s="433">
        <v>2</v>
      </c>
      <c r="AN10" s="432">
        <v>2</v>
      </c>
      <c r="AO10" s="430"/>
      <c r="AP10" s="429">
        <v>2</v>
      </c>
      <c r="AQ10" s="428">
        <v>2</v>
      </c>
      <c r="AR10" s="428">
        <v>2</v>
      </c>
      <c r="AS10" s="428">
        <v>2</v>
      </c>
      <c r="AT10" s="428">
        <v>2</v>
      </c>
      <c r="AU10" s="428">
        <v>2</v>
      </c>
      <c r="AV10" s="428">
        <v>2</v>
      </c>
      <c r="AW10" s="428">
        <v>2</v>
      </c>
      <c r="AX10" s="428">
        <v>2</v>
      </c>
      <c r="AY10" s="428">
        <v>2</v>
      </c>
      <c r="AZ10" s="428">
        <v>2</v>
      </c>
      <c r="BA10" s="431">
        <v>2</v>
      </c>
      <c r="BB10" s="430" t="s">
        <v>249</v>
      </c>
      <c r="BC10" s="429">
        <v>2</v>
      </c>
      <c r="BD10" s="428">
        <v>2</v>
      </c>
      <c r="BE10" s="428">
        <v>2</v>
      </c>
      <c r="BF10" s="428">
        <v>2</v>
      </c>
      <c r="BG10" s="428">
        <v>2</v>
      </c>
      <c r="BH10" s="428">
        <v>2</v>
      </c>
      <c r="BI10" s="428">
        <v>2</v>
      </c>
      <c r="BJ10" s="428">
        <v>2</v>
      </c>
      <c r="BK10" s="428">
        <v>2</v>
      </c>
      <c r="BL10" s="428">
        <v>2</v>
      </c>
      <c r="BM10" s="428">
        <v>2</v>
      </c>
      <c r="BN10" s="428">
        <v>2</v>
      </c>
      <c r="BO10" s="427" t="s">
        <v>249</v>
      </c>
      <c r="BQ10" s="1359" t="s">
        <v>669</v>
      </c>
      <c r="BR10" s="193">
        <f>BR8+BR8*BR9</f>
        <v>826.5</v>
      </c>
      <c r="BS10" s="4" t="s">
        <v>670</v>
      </c>
    </row>
    <row r="11" spans="2:80" ht="15" thickBot="1">
      <c r="B11" s="426" t="s">
        <v>90</v>
      </c>
      <c r="C11" s="572">
        <f>'1.5 - Proyeccion demanda'!L5</f>
        <v>0</v>
      </c>
      <c r="D11" s="46">
        <f>'1.5 - Proyeccion demanda'!L6</f>
        <v>0</v>
      </c>
      <c r="E11" s="46">
        <f>'1.5 - Proyeccion demanda'!L7</f>
        <v>458.78715296772765</v>
      </c>
      <c r="F11" s="46">
        <f>'1.5 - Proyeccion demanda'!L8</f>
        <v>654.46540635441795</v>
      </c>
      <c r="G11" s="46">
        <f>'1.5 - Proyeccion demanda'!L9</f>
        <v>1133.3639071574148</v>
      </c>
      <c r="H11" s="46">
        <f>'1.5 - Proyeccion demanda'!L10</f>
        <v>2020.7089346366156</v>
      </c>
      <c r="I11" s="46">
        <f>'1.5 - Proyeccion demanda'!L11</f>
        <v>2761.5709020347103</v>
      </c>
      <c r="J11" s="46">
        <f>'1.5 - Proyeccion demanda'!L12</f>
        <v>3891.7400077509606</v>
      </c>
      <c r="K11" s="46">
        <f>'1.5 - Proyeccion demanda'!L13</f>
        <v>3966.860855363675</v>
      </c>
      <c r="L11" s="46">
        <f>'1.5 - Proyeccion demanda'!L14</f>
        <v>4295.2126467347898</v>
      </c>
      <c r="M11" s="46">
        <f>'1.5 - Proyeccion demanda'!L15</f>
        <v>4984.5591332376289</v>
      </c>
      <c r="N11" s="77">
        <f>'1.5 - Proyeccion demanda'!L16</f>
        <v>4293.0109923016389</v>
      </c>
      <c r="O11" s="419">
        <f>SUM(C11:N11)</f>
        <v>28460.279938539581</v>
      </c>
      <c r="P11" s="413">
        <f>'1.5 - Proyeccion demanda'!L17</f>
        <v>8237.8105367251537</v>
      </c>
      <c r="Q11" s="46">
        <f>'1.5 - Proyeccion demanda'!L18</f>
        <v>8224.669631947294</v>
      </c>
      <c r="R11" s="46">
        <f>'1.5 - Proyeccion demanda'!L19</f>
        <v>9689.5829090955904</v>
      </c>
      <c r="S11" s="46">
        <f>'1.5 - Proyeccion demanda'!L20</f>
        <v>9212.6014060285579</v>
      </c>
      <c r="T11" s="46">
        <f>'1.5 - Proyeccion demanda'!L21</f>
        <v>9569.9614281447157</v>
      </c>
      <c r="U11" s="46">
        <f>'1.5 - Proyeccion demanda'!L22</f>
        <v>10661.529474735869</v>
      </c>
      <c r="V11" s="46">
        <f>'1.5 - Proyeccion demanda'!L23</f>
        <v>10594.12544834003</v>
      </c>
      <c r="W11" s="46">
        <f>'1.5 - Proyeccion demanda'!L24</f>
        <v>11727.735648921653</v>
      </c>
      <c r="X11" s="46">
        <f>'1.5 - Proyeccion demanda'!L25</f>
        <v>11154.543259115637</v>
      </c>
      <c r="Y11" s="46">
        <f>'1.5 - Proyeccion demanda'!L26</f>
        <v>10654.435201969105</v>
      </c>
      <c r="Z11" s="46">
        <f>'1.5 - Proyeccion demanda'!L27</f>
        <v>11060.310640978521</v>
      </c>
      <c r="AA11" s="77">
        <f>'1.5 - Proyeccion demanda'!L28</f>
        <v>9047.4573485301571</v>
      </c>
      <c r="AB11" s="419">
        <f>SUM(P11:AA11)</f>
        <v>119834.76293453228</v>
      </c>
      <c r="AC11" s="413">
        <f>'1.5 - Proyeccion demanda'!L29</f>
        <v>13017.837287808028</v>
      </c>
      <c r="AD11" s="413">
        <f>'1.5 - Proyeccion demanda'!L30</f>
        <v>12994.141413272167</v>
      </c>
      <c r="AE11" s="413">
        <f>'1.5 - Proyeccion demanda'!L31</f>
        <v>15305.134138254945</v>
      </c>
      <c r="AF11" s="413">
        <f>'1.5 - Proyeccion demanda'!L32</f>
        <v>14548.496090997309</v>
      </c>
      <c r="AG11" s="413">
        <f>'1.5 - Proyeccion demanda'!L33</f>
        <v>15109.517398545166</v>
      </c>
      <c r="AH11" s="413">
        <f>'1.5 - Proyeccion demanda'!L34</f>
        <v>16829.271414432995</v>
      </c>
      <c r="AI11" s="413">
        <f>'1.5 - Proyeccion demanda'!L35</f>
        <v>16719.262333921666</v>
      </c>
      <c r="AJ11" s="413">
        <f>'1.5 - Proyeccion demanda'!L36</f>
        <v>18504.321199260841</v>
      </c>
      <c r="AK11" s="413">
        <f>'1.5 - Proyeccion demanda'!L37</f>
        <v>17596.18635589222</v>
      </c>
      <c r="AL11" s="413">
        <f>'1.5 - Proyeccion demanda'!L38</f>
        <v>16803.731558608044</v>
      </c>
      <c r="AM11" s="413">
        <f>'1.5 - Proyeccion demanda'!L39</f>
        <v>17440.218870606201</v>
      </c>
      <c r="AN11" s="415">
        <f>'1.5 - Proyeccion demanda'!L40</f>
        <v>14263.339068685542</v>
      </c>
      <c r="AO11" s="419">
        <f>SUM(AC11:AN11)</f>
        <v>189131.4571302851</v>
      </c>
      <c r="AP11" s="413">
        <f>'1.5 - Proyeccion demanda'!L41</f>
        <v>18238.611694037776</v>
      </c>
      <c r="AQ11" s="46">
        <f>'1.5 - Proyeccion demanda'!L42</f>
        <v>18201.704504831188</v>
      </c>
      <c r="AR11" s="46">
        <f>'1.5 - Proyeccion demanda'!L43</f>
        <v>21434.525217155337</v>
      </c>
      <c r="AS11" s="46">
        <f>'1.5 - Proyeccion demanda'!L44</f>
        <v>20370.78676393571</v>
      </c>
      <c r="AT11" s="46">
        <f>'1.5 - Proyeccion demanda'!L45</f>
        <v>21152.123539831016</v>
      </c>
      <c r="AU11" s="46">
        <f>'1.5 - Proyeccion demanda'!L46</f>
        <v>23554.998155682893</v>
      </c>
      <c r="AV11" s="46">
        <f>'1.5 - Proyeccion demanda'!L47</f>
        <v>23396.448660444385</v>
      </c>
      <c r="AW11" s="46">
        <f>'1.5 - Proyeccion demanda'!L48</f>
        <v>25889.385233518937</v>
      </c>
      <c r="AX11" s="46">
        <f>'1.5 - Proyeccion demanda'!L49</f>
        <v>24614.077097481309</v>
      </c>
      <c r="AY11" s="46">
        <f>'1.5 - Proyeccion demanda'!L50</f>
        <v>23501.080419016591</v>
      </c>
      <c r="AZ11" s="46">
        <f>'1.5 - Proyeccion demanda'!L51</f>
        <v>24386.629039659507</v>
      </c>
      <c r="BA11" s="77">
        <f>'1.5 - Proyeccion demanda'!L52</f>
        <v>19940.656152767806</v>
      </c>
      <c r="BB11" s="419">
        <f>SUM(AP11:BA11)</f>
        <v>264681.0264783625</v>
      </c>
      <c r="BC11" s="413">
        <f>'1.5 - Proyeccion demanda'!L53</f>
        <v>23900.133755414401</v>
      </c>
      <c r="BD11" s="46">
        <f>'1.5 - Proyeccion demanda'!L54</f>
        <v>23847.358906624358</v>
      </c>
      <c r="BE11" s="46">
        <f>'1.5 - Proyeccion demanda'!L55</f>
        <v>28077.756145796775</v>
      </c>
      <c r="BF11" s="46">
        <f>'1.5 - Proyeccion demanda'!L56</f>
        <v>26679.473424843756</v>
      </c>
      <c r="BG11" s="46">
        <f>'1.5 - Proyeccion demanda'!L57</f>
        <v>27697.779852002262</v>
      </c>
      <c r="BH11" s="46">
        <f>'1.5 - Proyeccion demanda'!L58</f>
        <v>30838.7096984856</v>
      </c>
      <c r="BI11" s="46">
        <f>'1.5 - Proyeccion demanda'!L59</f>
        <v>30625.684427908192</v>
      </c>
      <c r="BJ11" s="46">
        <f>'1.5 - Proyeccion demanda'!L60</f>
        <v>33882.927751695934</v>
      </c>
      <c r="BK11" s="46">
        <f>'1.5 - Proyeccion demanda'!L61</f>
        <v>32208.215483882901</v>
      </c>
      <c r="BL11" s="46">
        <f>'1.5 - Proyeccion demanda'!L62</f>
        <v>30746.481783194722</v>
      </c>
      <c r="BM11" s="46">
        <f>'1.5 - Proyeccion demanda'!L63</f>
        <v>31899.541148138429</v>
      </c>
      <c r="BN11" s="46">
        <f>'1.5 - Proyeccion demanda'!L64</f>
        <v>26079.408600776944</v>
      </c>
      <c r="BO11" s="418">
        <f>SUM(BC11:BN11)</f>
        <v>346483.47097876424</v>
      </c>
      <c r="BQ11" s="1366" t="s">
        <v>482</v>
      </c>
      <c r="BR11" s="243">
        <f>BR10*BR7</f>
        <v>7.1078999999999999</v>
      </c>
      <c r="BS11" s="5" t="s">
        <v>670</v>
      </c>
    </row>
    <row r="12" spans="2:80" ht="15" thickBot="1">
      <c r="B12" s="411" t="s">
        <v>671</v>
      </c>
      <c r="C12" s="1360">
        <v>0</v>
      </c>
      <c r="D12" s="1360">
        <v>0</v>
      </c>
      <c r="E12" s="392">
        <f>E10*E9*'3.5 - Personal requerido'!$C$13</f>
        <v>5632</v>
      </c>
      <c r="F12" s="392">
        <f>F10*F9*'3.5 - Personal requerido'!$C$13</f>
        <v>5120</v>
      </c>
      <c r="G12" s="392">
        <f>G10*G9*'3.5 - Personal requerido'!$C$13</f>
        <v>5376</v>
      </c>
      <c r="H12" s="392">
        <f>H10*H9*'3.5 - Personal requerido'!$C$13</f>
        <v>5120</v>
      </c>
      <c r="I12" s="392">
        <f>I10*I9*'3.5 - Personal requerido'!$C$13</f>
        <v>5120</v>
      </c>
      <c r="J12" s="392">
        <f>J10*J9*'3.5 - Personal requerido'!$C$13</f>
        <v>5632</v>
      </c>
      <c r="K12" s="392">
        <f>K10*K9*'3.5 - Personal requerido'!$C$13</f>
        <v>5376</v>
      </c>
      <c r="L12" s="392">
        <f>L10*L9*'3.5 - Personal requerido'!$C$13</f>
        <v>5376</v>
      </c>
      <c r="M12" s="392">
        <f>M10*M9*'3.5 - Personal requerido'!$C$13</f>
        <v>5120</v>
      </c>
      <c r="N12" s="392">
        <f>N10*N9*'3.5 - Personal requerido'!$C$13</f>
        <v>5632</v>
      </c>
      <c r="O12" s="419">
        <f>SUM(C12:N12)</f>
        <v>53504</v>
      </c>
      <c r="P12" s="420">
        <f>P10*P9*'3.5 - Personal requerido'!$C$13</f>
        <v>10752</v>
      </c>
      <c r="Q12" s="1360">
        <f>Q10*Q9*'3.5 - Personal requerido'!$C$13</f>
        <v>10240</v>
      </c>
      <c r="R12" s="1360">
        <f>R10*R9*'3.5 - Personal requerido'!$C$13</f>
        <v>11264</v>
      </c>
      <c r="S12" s="1360">
        <f>S10*S9*'3.5 - Personal requerido'!$C$13</f>
        <v>10240</v>
      </c>
      <c r="T12" s="1360">
        <f>T10*T9*'3.5 - Personal requerido'!$C$13</f>
        <v>10752</v>
      </c>
      <c r="U12" s="1360">
        <f>U10*U9*'3.5 - Personal requerido'!$C$13</f>
        <v>10240</v>
      </c>
      <c r="V12" s="1360">
        <f>V10*V9*'3.5 - Personal requerido'!$C$13</f>
        <v>10240</v>
      </c>
      <c r="W12" s="1360">
        <f>W10*W9*'3.5 - Personal requerido'!$C$13</f>
        <v>11264</v>
      </c>
      <c r="X12" s="1360">
        <f>X10*X9*'3.5 - Personal requerido'!$C$13</f>
        <v>10752</v>
      </c>
      <c r="Y12" s="1360">
        <f>Y10*Y9*'3.5 - Personal requerido'!$C$13</f>
        <v>10752</v>
      </c>
      <c r="Z12" s="1360">
        <f>Z10*Z9*'3.5 - Personal requerido'!$C$13</f>
        <v>10240</v>
      </c>
      <c r="AA12" s="58">
        <f>AA10*AA9*'3.5 - Personal requerido'!$C$13</f>
        <v>11264</v>
      </c>
      <c r="AB12" s="419">
        <f>SUM(P12:AA12)</f>
        <v>128000</v>
      </c>
      <c r="AC12" s="413">
        <f>AC10*AC9*'3.5 - Personal requerido'!$C$13</f>
        <v>21504</v>
      </c>
      <c r="AD12" s="413">
        <f>AD10*AD9*'3.5 - Personal requerido'!$C$13</f>
        <v>20480</v>
      </c>
      <c r="AE12" s="413">
        <f>AE10*AE9*'3.5 - Personal requerido'!$C$13</f>
        <v>22528</v>
      </c>
      <c r="AF12" s="413">
        <f>AF10*AF9*'3.5 - Personal requerido'!$C$13</f>
        <v>20480</v>
      </c>
      <c r="AG12" s="413">
        <f>AG10*AG9*'3.5 - Personal requerido'!$C$13</f>
        <v>21504</v>
      </c>
      <c r="AH12" s="413">
        <f>AH10*AH9*'3.5 - Personal requerido'!$C$13</f>
        <v>20480</v>
      </c>
      <c r="AI12" s="413">
        <f>AI10*AI9*'3.5 - Personal requerido'!$C$13</f>
        <v>20480</v>
      </c>
      <c r="AJ12" s="413">
        <f>AJ10*AJ9*'3.5 - Personal requerido'!$C$13</f>
        <v>22528</v>
      </c>
      <c r="AK12" s="413">
        <f>AK10*AK9*'3.5 - Personal requerido'!$C$13</f>
        <v>21504</v>
      </c>
      <c r="AL12" s="413">
        <f>AL10*AL9*'3.5 - Personal requerido'!$C$13</f>
        <v>21504</v>
      </c>
      <c r="AM12" s="413">
        <f>AM10*AM9*'3.5 - Personal requerido'!$C$13</f>
        <v>20480</v>
      </c>
      <c r="AN12" s="413">
        <f>AN10*AN9*'3.5 - Personal requerido'!$C$13</f>
        <v>22528</v>
      </c>
      <c r="AO12" s="419">
        <f>SUM(AC12:AN12)</f>
        <v>256000</v>
      </c>
      <c r="AP12" s="413">
        <f>AP10*AP9*'3.5 - Personal requerido'!$C$13</f>
        <v>21504</v>
      </c>
      <c r="AQ12" s="46">
        <f>AQ10*AQ9*'3.5 - Personal requerido'!$C$13</f>
        <v>20480</v>
      </c>
      <c r="AR12" s="46">
        <f>AR10*AR9*'3.5 - Personal requerido'!$C$13</f>
        <v>22528</v>
      </c>
      <c r="AS12" s="46">
        <f>AS10*AS9*'3.5 - Personal requerido'!$C$13</f>
        <v>20480</v>
      </c>
      <c r="AT12" s="46">
        <f>AT10*AT9*'3.5 - Personal requerido'!$C$13</f>
        <v>21504</v>
      </c>
      <c r="AU12" s="46">
        <f>AU10*AU9*'3.5 - Personal requerido'!$C$13</f>
        <v>20480</v>
      </c>
      <c r="AV12" s="46">
        <f>AV10*AV9*'3.5 - Personal requerido'!$C$13</f>
        <v>20480</v>
      </c>
      <c r="AW12" s="46">
        <f>AW10*AW9*'3.5 - Personal requerido'!$C$13</f>
        <v>22528</v>
      </c>
      <c r="AX12" s="46">
        <f>AX10*AX9*'3.5 - Personal requerido'!$C$13</f>
        <v>21504</v>
      </c>
      <c r="AY12" s="46">
        <f>AY10*AY9*'3.5 - Personal requerido'!$C$13</f>
        <v>21504</v>
      </c>
      <c r="AZ12" s="46">
        <f>AZ10*AZ9*'3.5 - Personal requerido'!$C$13</f>
        <v>20480</v>
      </c>
      <c r="BA12" s="77">
        <f>BA10*BA9*'3.5 - Personal requerido'!$C$13</f>
        <v>22528</v>
      </c>
      <c r="BB12" s="419">
        <f>SUM(AP12:BA12)</f>
        <v>256000</v>
      </c>
      <c r="BC12" s="413">
        <f>BC10*BC9*'3.5 - Personal requerido'!$C$13</f>
        <v>32256</v>
      </c>
      <c r="BD12" s="46">
        <f>BD10*BD9*'3.5 - Personal requerido'!$C$13</f>
        <v>30720</v>
      </c>
      <c r="BE12" s="46">
        <f>BE10*BE9*'3.5 - Personal requerido'!$C$13</f>
        <v>33792</v>
      </c>
      <c r="BF12" s="46">
        <f>BF10*BF9*'3.5 - Personal requerido'!$C$13</f>
        <v>30720</v>
      </c>
      <c r="BG12" s="46">
        <f>BG10*BG9*'3.5 - Personal requerido'!$C$13</f>
        <v>32256</v>
      </c>
      <c r="BH12" s="46">
        <f>BH10*BH9*'3.5 - Personal requerido'!$C$13</f>
        <v>30720</v>
      </c>
      <c r="BI12" s="46">
        <f>BI10*BI9*'3.5 - Personal requerido'!$C$13</f>
        <v>30720</v>
      </c>
      <c r="BJ12" s="46">
        <f>BJ10*BJ9*'3.5 - Personal requerido'!$C$13</f>
        <v>33792</v>
      </c>
      <c r="BK12" s="46">
        <f>BK10*BK9*'3.5 - Personal requerido'!$C$13</f>
        <v>32256</v>
      </c>
      <c r="BL12" s="46">
        <f>BL10*BL9*'3.5 - Personal requerido'!$C$13</f>
        <v>32256</v>
      </c>
      <c r="BM12" s="46">
        <f>BM10*BM9*'3.5 - Personal requerido'!$C$13</f>
        <v>30720</v>
      </c>
      <c r="BN12" s="46">
        <f>BN10*BN9*'3.5 - Personal requerido'!$C$13</f>
        <v>33792</v>
      </c>
      <c r="BO12" s="418">
        <f>SUM(BC12:BN12)</f>
        <v>384000</v>
      </c>
    </row>
    <row r="13" spans="2:80">
      <c r="B13" s="411" t="s">
        <v>672</v>
      </c>
      <c r="C13" s="48">
        <v>0.8</v>
      </c>
      <c r="D13" s="48">
        <v>0.8</v>
      </c>
      <c r="E13" s="48">
        <v>0.8</v>
      </c>
      <c r="F13" s="48">
        <v>0.8</v>
      </c>
      <c r="G13" s="48">
        <v>0.8</v>
      </c>
      <c r="H13" s="48">
        <v>0.8</v>
      </c>
      <c r="I13" s="48">
        <v>0.85</v>
      </c>
      <c r="J13" s="48">
        <v>0.85</v>
      </c>
      <c r="K13" s="48">
        <v>0.85</v>
      </c>
      <c r="L13" s="48">
        <v>0.85</v>
      </c>
      <c r="M13" s="48">
        <v>0.85</v>
      </c>
      <c r="N13" s="48">
        <v>0.85</v>
      </c>
      <c r="O13" s="424">
        <f>AVERAGE(C13:N13)</f>
        <v>0.82499999999999984</v>
      </c>
      <c r="P13" s="425">
        <v>0.87</v>
      </c>
      <c r="Q13" s="425">
        <v>0.87</v>
      </c>
      <c r="R13" s="425">
        <v>0.87</v>
      </c>
      <c r="S13" s="425">
        <v>0.87</v>
      </c>
      <c r="T13" s="425">
        <v>0.87</v>
      </c>
      <c r="U13" s="425">
        <v>0.87</v>
      </c>
      <c r="V13" s="425">
        <v>0.87</v>
      </c>
      <c r="W13" s="425">
        <v>0.87</v>
      </c>
      <c r="X13" s="425">
        <v>0.87</v>
      </c>
      <c r="Y13" s="425">
        <v>0.87</v>
      </c>
      <c r="Z13" s="425">
        <v>0.87</v>
      </c>
      <c r="AA13" s="425">
        <v>0.87</v>
      </c>
      <c r="AB13" s="424">
        <f>AVERAGE(P13:AA13)</f>
        <v>0.86999999999999977</v>
      </c>
      <c r="AC13" s="423">
        <v>0.87</v>
      </c>
      <c r="AD13" s="423">
        <v>0.87</v>
      </c>
      <c r="AE13" s="423">
        <v>0.87</v>
      </c>
      <c r="AF13" s="423">
        <v>0.87</v>
      </c>
      <c r="AG13" s="423">
        <v>0.87</v>
      </c>
      <c r="AH13" s="423">
        <v>0.87</v>
      </c>
      <c r="AI13" s="423">
        <v>0.87</v>
      </c>
      <c r="AJ13" s="423">
        <v>0.87</v>
      </c>
      <c r="AK13" s="423">
        <v>0.87</v>
      </c>
      <c r="AL13" s="423">
        <v>0.87</v>
      </c>
      <c r="AM13" s="423">
        <v>0.87</v>
      </c>
      <c r="AN13" s="423">
        <v>0.87</v>
      </c>
      <c r="AO13" s="424">
        <f>AVERAGE(AC13:AN13)</f>
        <v>0.86999999999999977</v>
      </c>
      <c r="AP13" s="423">
        <v>0.9</v>
      </c>
      <c r="AQ13" s="423">
        <v>0.9</v>
      </c>
      <c r="AR13" s="423">
        <v>0.9</v>
      </c>
      <c r="AS13" s="423">
        <v>0.9</v>
      </c>
      <c r="AT13" s="423">
        <v>0.9</v>
      </c>
      <c r="AU13" s="423">
        <v>0.9</v>
      </c>
      <c r="AV13" s="423">
        <v>0.9</v>
      </c>
      <c r="AW13" s="423">
        <v>0.9</v>
      </c>
      <c r="AX13" s="423">
        <v>0.9</v>
      </c>
      <c r="AY13" s="423">
        <v>0.9</v>
      </c>
      <c r="AZ13" s="423">
        <v>0.9</v>
      </c>
      <c r="BA13" s="423">
        <v>0.9</v>
      </c>
      <c r="BB13" s="424">
        <f>AVERAGE(AP13:BA13)</f>
        <v>0.90000000000000024</v>
      </c>
      <c r="BC13" s="423">
        <v>0.9</v>
      </c>
      <c r="BD13" s="423">
        <v>0.9</v>
      </c>
      <c r="BE13" s="423">
        <v>0.9</v>
      </c>
      <c r="BF13" s="423">
        <v>0.9</v>
      </c>
      <c r="BG13" s="423">
        <v>0.9</v>
      </c>
      <c r="BH13" s="423">
        <v>0.9</v>
      </c>
      <c r="BI13" s="423">
        <v>0.9</v>
      </c>
      <c r="BJ13" s="423">
        <v>0.9</v>
      </c>
      <c r="BK13" s="423">
        <v>0.9</v>
      </c>
      <c r="BL13" s="423">
        <v>0.9</v>
      </c>
      <c r="BM13" s="423">
        <v>0.9</v>
      </c>
      <c r="BN13" s="423">
        <v>0.9</v>
      </c>
      <c r="BO13" s="422">
        <f>AVERAGE(BC13:BN13)</f>
        <v>0.90000000000000024</v>
      </c>
      <c r="BQ13" s="1376" t="s">
        <v>660</v>
      </c>
      <c r="BR13" s="104" t="s">
        <v>673</v>
      </c>
      <c r="BS13" s="104" t="s">
        <v>674</v>
      </c>
      <c r="BT13" s="104" t="s">
        <v>675</v>
      </c>
      <c r="BU13" s="1377" t="s">
        <v>676</v>
      </c>
    </row>
    <row r="14" spans="2:80">
      <c r="B14" s="411" t="s">
        <v>677</v>
      </c>
      <c r="C14" s="421">
        <f t="shared" ref="C14:N14" si="5">C13*C12</f>
        <v>0</v>
      </c>
      <c r="D14" s="421">
        <f t="shared" si="5"/>
        <v>0</v>
      </c>
      <c r="E14" s="188">
        <f t="shared" si="5"/>
        <v>4505.6000000000004</v>
      </c>
      <c r="F14" s="188">
        <f t="shared" si="5"/>
        <v>4096</v>
      </c>
      <c r="G14" s="188">
        <f t="shared" si="5"/>
        <v>4300.8</v>
      </c>
      <c r="H14" s="188">
        <f t="shared" si="5"/>
        <v>4096</v>
      </c>
      <c r="I14" s="188">
        <f t="shared" si="5"/>
        <v>4352</v>
      </c>
      <c r="J14" s="188">
        <f t="shared" si="5"/>
        <v>4787.2</v>
      </c>
      <c r="K14" s="188">
        <f t="shared" si="5"/>
        <v>4569.5999999999995</v>
      </c>
      <c r="L14" s="188">
        <f t="shared" si="5"/>
        <v>4569.5999999999995</v>
      </c>
      <c r="M14" s="188">
        <f t="shared" si="5"/>
        <v>4352</v>
      </c>
      <c r="N14" s="188">
        <f t="shared" si="5"/>
        <v>4787.2</v>
      </c>
      <c r="O14" s="419">
        <f>SUM(C14:N14)</f>
        <v>44416</v>
      </c>
      <c r="P14" s="394">
        <f t="shared" ref="P14:AA14" si="6">P13*P12</f>
        <v>9354.24</v>
      </c>
      <c r="Q14" s="394">
        <f t="shared" si="6"/>
        <v>8908.7999999999993</v>
      </c>
      <c r="R14" s="394">
        <f t="shared" si="6"/>
        <v>9799.68</v>
      </c>
      <c r="S14" s="394">
        <f t="shared" si="6"/>
        <v>8908.7999999999993</v>
      </c>
      <c r="T14" s="394">
        <f t="shared" si="6"/>
        <v>9354.24</v>
      </c>
      <c r="U14" s="394">
        <f t="shared" si="6"/>
        <v>8908.7999999999993</v>
      </c>
      <c r="V14" s="394">
        <f t="shared" si="6"/>
        <v>8908.7999999999993</v>
      </c>
      <c r="W14" s="394">
        <f t="shared" si="6"/>
        <v>9799.68</v>
      </c>
      <c r="X14" s="394">
        <f t="shared" si="6"/>
        <v>9354.24</v>
      </c>
      <c r="Y14" s="394">
        <f t="shared" si="6"/>
        <v>9354.24</v>
      </c>
      <c r="Z14" s="394">
        <f t="shared" si="6"/>
        <v>8908.7999999999993</v>
      </c>
      <c r="AA14" s="394">
        <f t="shared" si="6"/>
        <v>9799.68</v>
      </c>
      <c r="AB14" s="419">
        <f>SUM(P14:AA14)</f>
        <v>111360.00000000003</v>
      </c>
      <c r="AC14" s="413">
        <f t="shared" ref="AC14:AN14" si="7">AC12*AC13</f>
        <v>18708.48</v>
      </c>
      <c r="AD14" s="413">
        <f t="shared" si="7"/>
        <v>17817.599999999999</v>
      </c>
      <c r="AE14" s="413">
        <f t="shared" si="7"/>
        <v>19599.36</v>
      </c>
      <c r="AF14" s="413">
        <f t="shared" si="7"/>
        <v>17817.599999999999</v>
      </c>
      <c r="AG14" s="413">
        <f t="shared" si="7"/>
        <v>18708.48</v>
      </c>
      <c r="AH14" s="413">
        <f t="shared" si="7"/>
        <v>17817.599999999999</v>
      </c>
      <c r="AI14" s="413">
        <f t="shared" si="7"/>
        <v>17817.599999999999</v>
      </c>
      <c r="AJ14" s="413">
        <f t="shared" si="7"/>
        <v>19599.36</v>
      </c>
      <c r="AK14" s="413">
        <f t="shared" si="7"/>
        <v>18708.48</v>
      </c>
      <c r="AL14" s="413">
        <f t="shared" si="7"/>
        <v>18708.48</v>
      </c>
      <c r="AM14" s="413">
        <f t="shared" si="7"/>
        <v>17817.599999999999</v>
      </c>
      <c r="AN14" s="413">
        <f t="shared" si="7"/>
        <v>19599.36</v>
      </c>
      <c r="AO14" s="419">
        <f>SUM(AC14:AN14)</f>
        <v>222720.00000000006</v>
      </c>
      <c r="AP14" s="413">
        <f t="shared" ref="AP14:BA14" si="8">AP12*AP13</f>
        <v>19353.600000000002</v>
      </c>
      <c r="AQ14" s="413">
        <f t="shared" si="8"/>
        <v>18432</v>
      </c>
      <c r="AR14" s="413">
        <f t="shared" si="8"/>
        <v>20275.2</v>
      </c>
      <c r="AS14" s="413">
        <f t="shared" si="8"/>
        <v>18432</v>
      </c>
      <c r="AT14" s="413">
        <f t="shared" si="8"/>
        <v>19353.600000000002</v>
      </c>
      <c r="AU14" s="413">
        <f t="shared" si="8"/>
        <v>18432</v>
      </c>
      <c r="AV14" s="413">
        <f t="shared" si="8"/>
        <v>18432</v>
      </c>
      <c r="AW14" s="413">
        <f t="shared" si="8"/>
        <v>20275.2</v>
      </c>
      <c r="AX14" s="413">
        <f t="shared" si="8"/>
        <v>19353.600000000002</v>
      </c>
      <c r="AY14" s="413">
        <f t="shared" si="8"/>
        <v>19353.600000000002</v>
      </c>
      <c r="AZ14" s="413">
        <f t="shared" si="8"/>
        <v>18432</v>
      </c>
      <c r="BA14" s="413">
        <f t="shared" si="8"/>
        <v>20275.2</v>
      </c>
      <c r="BB14" s="419">
        <f>SUM(AP14:BA14)</f>
        <v>230400.00000000006</v>
      </c>
      <c r="BC14" s="413">
        <f t="shared" ref="BC14:BN14" si="9">BC13*BC12</f>
        <v>29030.400000000001</v>
      </c>
      <c r="BD14" s="413">
        <f t="shared" si="9"/>
        <v>27648</v>
      </c>
      <c r="BE14" s="413">
        <f t="shared" si="9"/>
        <v>30412.799999999999</v>
      </c>
      <c r="BF14" s="413">
        <f t="shared" si="9"/>
        <v>27648</v>
      </c>
      <c r="BG14" s="413">
        <f t="shared" si="9"/>
        <v>29030.400000000001</v>
      </c>
      <c r="BH14" s="413">
        <f t="shared" si="9"/>
        <v>27648</v>
      </c>
      <c r="BI14" s="413">
        <f t="shared" si="9"/>
        <v>27648</v>
      </c>
      <c r="BJ14" s="413">
        <f t="shared" si="9"/>
        <v>30412.799999999999</v>
      </c>
      <c r="BK14" s="413">
        <f t="shared" si="9"/>
        <v>29030.400000000001</v>
      </c>
      <c r="BL14" s="413">
        <f t="shared" si="9"/>
        <v>29030.400000000001</v>
      </c>
      <c r="BM14" s="413">
        <f t="shared" si="9"/>
        <v>27648</v>
      </c>
      <c r="BN14" s="413">
        <f t="shared" si="9"/>
        <v>30412.799999999999</v>
      </c>
      <c r="BO14" s="418">
        <f>SUM(BC14:BN14)</f>
        <v>345600</v>
      </c>
      <c r="BQ14" s="1359">
        <v>2024</v>
      </c>
      <c r="BR14" s="1360">
        <v>1</v>
      </c>
      <c r="BS14" s="1360">
        <v>1</v>
      </c>
      <c r="BT14" s="1360">
        <f>BR14*BS14</f>
        <v>1</v>
      </c>
      <c r="BU14" s="4">
        <v>1</v>
      </c>
    </row>
    <row r="15" spans="2:80">
      <c r="B15" s="411" t="s">
        <v>678</v>
      </c>
      <c r="C15" s="188">
        <f>C12-C11</f>
        <v>0</v>
      </c>
      <c r="D15" s="188">
        <f>D12-D11</f>
        <v>0</v>
      </c>
      <c r="E15" s="188">
        <f t="shared" ref="E15:N15" si="10">E14-E11</f>
        <v>4046.8128470322727</v>
      </c>
      <c r="F15" s="188">
        <f t="shared" si="10"/>
        <v>3441.5345936455819</v>
      </c>
      <c r="G15" s="188">
        <f t="shared" si="10"/>
        <v>3167.4360928425854</v>
      </c>
      <c r="H15" s="188">
        <f t="shared" si="10"/>
        <v>2075.2910653633844</v>
      </c>
      <c r="I15" s="188">
        <f t="shared" si="10"/>
        <v>1590.4290979652897</v>
      </c>
      <c r="J15" s="188">
        <f t="shared" si="10"/>
        <v>895.45999224903926</v>
      </c>
      <c r="K15" s="188">
        <f t="shared" si="10"/>
        <v>602.73914463632445</v>
      </c>
      <c r="L15" s="188">
        <f t="shared" si="10"/>
        <v>274.38735326520964</v>
      </c>
      <c r="M15" s="188">
        <f t="shared" si="10"/>
        <v>-632.55913323762888</v>
      </c>
      <c r="N15" s="188">
        <f t="shared" si="10"/>
        <v>494.18900769836091</v>
      </c>
      <c r="O15" s="419">
        <f>SUM(C15:N15)</f>
        <v>15955.720061460423</v>
      </c>
      <c r="P15" s="416">
        <f t="shared" ref="P15:AA15" si="11">P14-P11</f>
        <v>1116.4294632748461</v>
      </c>
      <c r="Q15" s="416">
        <f t="shared" si="11"/>
        <v>684.13036805270531</v>
      </c>
      <c r="R15" s="416">
        <f t="shared" si="11"/>
        <v>110.09709090440992</v>
      </c>
      <c r="S15" s="416">
        <f t="shared" si="11"/>
        <v>-303.80140602855863</v>
      </c>
      <c r="T15" s="416">
        <f t="shared" si="11"/>
        <v>-215.7214281447159</v>
      </c>
      <c r="U15" s="416">
        <f t="shared" si="11"/>
        <v>-1752.7294747358701</v>
      </c>
      <c r="V15" s="416">
        <f t="shared" si="11"/>
        <v>-1685.3254483400306</v>
      </c>
      <c r="W15" s="416">
        <f t="shared" si="11"/>
        <v>-1928.0556489216524</v>
      </c>
      <c r="X15" s="416">
        <f t="shared" si="11"/>
        <v>-1800.303259115637</v>
      </c>
      <c r="Y15" s="416">
        <f t="shared" si="11"/>
        <v>-1300.1952019691053</v>
      </c>
      <c r="Z15" s="416">
        <f t="shared" si="11"/>
        <v>-2151.5106409785221</v>
      </c>
      <c r="AA15" s="416">
        <f t="shared" si="11"/>
        <v>752.22265146984319</v>
      </c>
      <c r="AB15" s="419">
        <f>SUM(P15:AA15)</f>
        <v>-8474.7629345322875</v>
      </c>
      <c r="AC15" s="413">
        <f t="shared" ref="AC15:AN15" si="12">AC14-AC11</f>
        <v>5690.6427121919714</v>
      </c>
      <c r="AD15" s="413">
        <f t="shared" si="12"/>
        <v>4823.4585867278311</v>
      </c>
      <c r="AE15" s="413">
        <f t="shared" si="12"/>
        <v>4294.2258617450552</v>
      </c>
      <c r="AF15" s="413">
        <f t="shared" si="12"/>
        <v>3269.1039090026898</v>
      </c>
      <c r="AG15" s="413">
        <f t="shared" si="12"/>
        <v>3598.9626014548339</v>
      </c>
      <c r="AH15" s="413">
        <f t="shared" si="12"/>
        <v>988.32858556700376</v>
      </c>
      <c r="AI15" s="413">
        <f t="shared" si="12"/>
        <v>1098.3376660783324</v>
      </c>
      <c r="AJ15" s="413">
        <f t="shared" si="12"/>
        <v>1095.0388007391593</v>
      </c>
      <c r="AK15" s="413">
        <f t="shared" si="12"/>
        <v>1112.29364410778</v>
      </c>
      <c r="AL15" s="413">
        <f t="shared" si="12"/>
        <v>1904.7484413919556</v>
      </c>
      <c r="AM15" s="413">
        <f t="shared" si="12"/>
        <v>377.38112939379789</v>
      </c>
      <c r="AN15" s="413">
        <f t="shared" si="12"/>
        <v>5336.0209313144587</v>
      </c>
      <c r="AO15" s="419">
        <f>SUM(AC15:AN15)</f>
        <v>33588.542869714867</v>
      </c>
      <c r="AP15" s="413">
        <f t="shared" ref="AP15:BA15" si="13">AP14-AP11</f>
        <v>1114.9883059622261</v>
      </c>
      <c r="AQ15" s="413">
        <f t="shared" si="13"/>
        <v>230.29549516881161</v>
      </c>
      <c r="AR15" s="413">
        <f t="shared" si="13"/>
        <v>-1159.3252171553358</v>
      </c>
      <c r="AS15" s="413">
        <f t="shared" si="13"/>
        <v>-1938.78676393571</v>
      </c>
      <c r="AT15" s="413">
        <f t="shared" si="13"/>
        <v>-1798.5235398310142</v>
      </c>
      <c r="AU15" s="413">
        <f t="shared" si="13"/>
        <v>-5122.9981556828934</v>
      </c>
      <c r="AV15" s="413">
        <f t="shared" si="13"/>
        <v>-4964.4486604443846</v>
      </c>
      <c r="AW15" s="413">
        <f t="shared" si="13"/>
        <v>-5614.185233518936</v>
      </c>
      <c r="AX15" s="413">
        <f t="shared" si="13"/>
        <v>-5260.4770974813073</v>
      </c>
      <c r="AY15" s="413">
        <f t="shared" si="13"/>
        <v>-4147.4804190165887</v>
      </c>
      <c r="AZ15" s="413">
        <f t="shared" si="13"/>
        <v>-5954.6290396595068</v>
      </c>
      <c r="BA15" s="413">
        <f t="shared" si="13"/>
        <v>334.54384723219482</v>
      </c>
      <c r="BB15" s="419">
        <f>SUM(AP15:BA15)</f>
        <v>-34281.026478362444</v>
      </c>
      <c r="BC15" s="413">
        <f t="shared" ref="BC15:BN15" si="14">BC14-BC11</f>
        <v>5130.2662445856004</v>
      </c>
      <c r="BD15" s="413">
        <f t="shared" si="14"/>
        <v>3800.6410933756415</v>
      </c>
      <c r="BE15" s="413">
        <f t="shared" si="14"/>
        <v>2335.0438542032243</v>
      </c>
      <c r="BF15" s="413">
        <f t="shared" si="14"/>
        <v>968.52657515624378</v>
      </c>
      <c r="BG15" s="413">
        <f t="shared" si="14"/>
        <v>1332.620147997739</v>
      </c>
      <c r="BH15" s="413">
        <f t="shared" si="14"/>
        <v>-3190.7096984855998</v>
      </c>
      <c r="BI15" s="413">
        <f t="shared" si="14"/>
        <v>-2977.6844279081924</v>
      </c>
      <c r="BJ15" s="413">
        <f t="shared" si="14"/>
        <v>-3470.1277516959344</v>
      </c>
      <c r="BK15" s="413">
        <f t="shared" si="14"/>
        <v>-3177.8154838828996</v>
      </c>
      <c r="BL15" s="413">
        <f t="shared" si="14"/>
        <v>-1716.0817831947206</v>
      </c>
      <c r="BM15" s="413">
        <f t="shared" si="14"/>
        <v>-4251.541148138429</v>
      </c>
      <c r="BN15" s="413">
        <f t="shared" si="14"/>
        <v>4333.3913992230555</v>
      </c>
      <c r="BO15" s="418">
        <f>SUM(BC15:BN15)</f>
        <v>-883.47097876427142</v>
      </c>
      <c r="BQ15" s="1359">
        <v>2025</v>
      </c>
      <c r="BR15" s="1360">
        <v>2</v>
      </c>
      <c r="BS15" s="1360">
        <v>1</v>
      </c>
      <c r="BT15" s="1360">
        <f>BR15*BS15</f>
        <v>2</v>
      </c>
      <c r="BU15" s="4">
        <v>2</v>
      </c>
    </row>
    <row r="16" spans="2:80" ht="15" thickBot="1">
      <c r="B16" s="411" t="s">
        <v>679</v>
      </c>
      <c r="C16" s="188">
        <f>C15</f>
        <v>0</v>
      </c>
      <c r="D16" s="188">
        <f t="shared" ref="D16:N16" si="15">D15+C16</f>
        <v>0</v>
      </c>
      <c r="E16" s="188">
        <f t="shared" si="15"/>
        <v>4046.8128470322727</v>
      </c>
      <c r="F16" s="188">
        <f t="shared" si="15"/>
        <v>7488.347440677855</v>
      </c>
      <c r="G16" s="188">
        <f t="shared" si="15"/>
        <v>10655.78353352044</v>
      </c>
      <c r="H16" s="188">
        <f t="shared" si="15"/>
        <v>12731.074598883824</v>
      </c>
      <c r="I16" s="188">
        <f t="shared" si="15"/>
        <v>14321.503696849115</v>
      </c>
      <c r="J16" s="188">
        <f t="shared" si="15"/>
        <v>15216.963689098155</v>
      </c>
      <c r="K16" s="188">
        <f t="shared" si="15"/>
        <v>15819.702833734478</v>
      </c>
      <c r="L16" s="188">
        <f t="shared" si="15"/>
        <v>16094.090186999689</v>
      </c>
      <c r="M16" s="188">
        <f t="shared" si="15"/>
        <v>15461.531053762061</v>
      </c>
      <c r="N16" s="188">
        <f t="shared" si="15"/>
        <v>15955.720061460423</v>
      </c>
      <c r="O16" s="417">
        <f>N16</f>
        <v>15955.720061460423</v>
      </c>
      <c r="P16" s="416">
        <f t="shared" ref="P16:AA16" si="16">P15+O16</f>
        <v>17072.149524735269</v>
      </c>
      <c r="Q16" s="416">
        <f t="shared" si="16"/>
        <v>17756.279892787974</v>
      </c>
      <c r="R16" s="416">
        <f t="shared" si="16"/>
        <v>17866.376983692382</v>
      </c>
      <c r="S16" s="416">
        <f t="shared" si="16"/>
        <v>17562.575577663825</v>
      </c>
      <c r="T16" s="416">
        <f t="shared" si="16"/>
        <v>17346.854149519109</v>
      </c>
      <c r="U16" s="416">
        <f t="shared" si="16"/>
        <v>15594.124674783239</v>
      </c>
      <c r="V16" s="416">
        <f t="shared" si="16"/>
        <v>13908.799226443209</v>
      </c>
      <c r="W16" s="416">
        <f t="shared" si="16"/>
        <v>11980.743577521556</v>
      </c>
      <c r="X16" s="416">
        <f t="shared" si="16"/>
        <v>10180.440318405919</v>
      </c>
      <c r="Y16" s="416">
        <f t="shared" si="16"/>
        <v>8880.245116436814</v>
      </c>
      <c r="Z16" s="416">
        <f t="shared" si="16"/>
        <v>6728.7344754582919</v>
      </c>
      <c r="AA16" s="416">
        <f t="shared" si="16"/>
        <v>7480.957126928135</v>
      </c>
      <c r="AB16" s="414">
        <f>AB15+O15</f>
        <v>7480.957126928135</v>
      </c>
      <c r="AC16" s="413">
        <f t="shared" ref="AC16:AN16" si="17">AB16+AC15</f>
        <v>13171.599839120106</v>
      </c>
      <c r="AD16" s="413">
        <f t="shared" si="17"/>
        <v>17995.058425847936</v>
      </c>
      <c r="AE16" s="413">
        <f t="shared" si="17"/>
        <v>22289.284287592993</v>
      </c>
      <c r="AF16" s="413">
        <f t="shared" si="17"/>
        <v>25558.388196595683</v>
      </c>
      <c r="AG16" s="413">
        <f t="shared" si="17"/>
        <v>29157.350798050516</v>
      </c>
      <c r="AH16" s="413">
        <f t="shared" si="17"/>
        <v>30145.67938361752</v>
      </c>
      <c r="AI16" s="413">
        <f t="shared" si="17"/>
        <v>31244.017049695853</v>
      </c>
      <c r="AJ16" s="413">
        <f t="shared" si="17"/>
        <v>32339.055850435012</v>
      </c>
      <c r="AK16" s="413">
        <f t="shared" si="17"/>
        <v>33451.349494542796</v>
      </c>
      <c r="AL16" s="413">
        <f t="shared" si="17"/>
        <v>35356.097935934755</v>
      </c>
      <c r="AM16" s="413">
        <f t="shared" si="17"/>
        <v>35733.479065328553</v>
      </c>
      <c r="AN16" s="415">
        <f t="shared" si="17"/>
        <v>41069.499996643011</v>
      </c>
      <c r="AO16" s="414">
        <f>AO15+AB16</f>
        <v>41069.499996643004</v>
      </c>
      <c r="AP16" s="413">
        <f t="shared" ref="AP16:BA16" si="18">AO16+AP15</f>
        <v>42184.488302605227</v>
      </c>
      <c r="AQ16" s="413">
        <f t="shared" si="18"/>
        <v>42414.783797774042</v>
      </c>
      <c r="AR16" s="413">
        <f t="shared" si="18"/>
        <v>41255.45858061871</v>
      </c>
      <c r="AS16" s="413">
        <f t="shared" si="18"/>
        <v>39316.671816682996</v>
      </c>
      <c r="AT16" s="413">
        <f t="shared" si="18"/>
        <v>37518.148276851978</v>
      </c>
      <c r="AU16" s="413">
        <f t="shared" si="18"/>
        <v>32395.150121169085</v>
      </c>
      <c r="AV16" s="413">
        <f t="shared" si="18"/>
        <v>27430.7014607247</v>
      </c>
      <c r="AW16" s="413">
        <f t="shared" si="18"/>
        <v>21816.516227205764</v>
      </c>
      <c r="AX16" s="413">
        <f t="shared" si="18"/>
        <v>16556.039129724457</v>
      </c>
      <c r="AY16" s="413">
        <f t="shared" si="18"/>
        <v>12408.558710707868</v>
      </c>
      <c r="AZ16" s="413">
        <f t="shared" si="18"/>
        <v>6453.9296710483613</v>
      </c>
      <c r="BA16" s="413">
        <f t="shared" si="18"/>
        <v>6788.4735182805562</v>
      </c>
      <c r="BB16" s="414">
        <f>BB15+AO16</f>
        <v>6788.4735182805598</v>
      </c>
      <c r="BC16" s="413">
        <f t="shared" ref="BC16:BN16" si="19">BB16+BC15</f>
        <v>11918.73976286616</v>
      </c>
      <c r="BD16" s="413">
        <f t="shared" si="19"/>
        <v>15719.380856241802</v>
      </c>
      <c r="BE16" s="413">
        <f t="shared" si="19"/>
        <v>18054.424710445026</v>
      </c>
      <c r="BF16" s="413">
        <f t="shared" si="19"/>
        <v>19022.95128560127</v>
      </c>
      <c r="BG16" s="413">
        <f t="shared" si="19"/>
        <v>20355.571433599009</v>
      </c>
      <c r="BH16" s="413">
        <f t="shared" si="19"/>
        <v>17164.861735113409</v>
      </c>
      <c r="BI16" s="413">
        <f t="shared" si="19"/>
        <v>14187.177307205216</v>
      </c>
      <c r="BJ16" s="413">
        <f t="shared" si="19"/>
        <v>10717.049555509282</v>
      </c>
      <c r="BK16" s="413">
        <f t="shared" si="19"/>
        <v>7539.2340716263825</v>
      </c>
      <c r="BL16" s="413">
        <f t="shared" si="19"/>
        <v>5823.1522884316619</v>
      </c>
      <c r="BM16" s="413">
        <f t="shared" si="19"/>
        <v>1571.6111402932329</v>
      </c>
      <c r="BN16" s="413">
        <f t="shared" si="19"/>
        <v>5905.0025395162884</v>
      </c>
      <c r="BO16" s="412">
        <f>BO15+BB16</f>
        <v>5905.0025395162884</v>
      </c>
      <c r="BQ16" s="1359">
        <v>2026</v>
      </c>
      <c r="BR16" s="1360">
        <v>2</v>
      </c>
      <c r="BS16" s="1360">
        <v>2</v>
      </c>
      <c r="BT16" s="1360">
        <f>BR16*BS16</f>
        <v>4</v>
      </c>
      <c r="BU16" s="4">
        <v>2</v>
      </c>
    </row>
    <row r="17" spans="2:75" ht="15" thickBot="1">
      <c r="B17" s="411" t="s">
        <v>680</v>
      </c>
      <c r="C17" s="410">
        <f t="shared" ref="C17:N17" si="20">C16*$BR$11</f>
        <v>0</v>
      </c>
      <c r="D17" s="409">
        <f t="shared" si="20"/>
        <v>0</v>
      </c>
      <c r="E17" s="408">
        <f t="shared" si="20"/>
        <v>28764.34103542069</v>
      </c>
      <c r="F17" s="408">
        <f t="shared" si="20"/>
        <v>53226.424773594124</v>
      </c>
      <c r="G17" s="408">
        <f>G16*$BR$11</f>
        <v>75740.243777909927</v>
      </c>
      <c r="H17" s="408">
        <f t="shared" si="20"/>
        <v>90491.205141406332</v>
      </c>
      <c r="I17" s="408">
        <f t="shared" si="20"/>
        <v>101795.81612683382</v>
      </c>
      <c r="J17" s="408">
        <f t="shared" si="20"/>
        <v>108160.65620574077</v>
      </c>
      <c r="K17" s="408">
        <f t="shared" si="20"/>
        <v>112444.8657719013</v>
      </c>
      <c r="L17" s="408">
        <f t="shared" si="20"/>
        <v>114395.18364017509</v>
      </c>
      <c r="M17" s="408">
        <f t="shared" si="20"/>
        <v>109899.01657703535</v>
      </c>
      <c r="N17" s="407">
        <f t="shared" si="20"/>
        <v>113411.66262485454</v>
      </c>
      <c r="O17" s="406">
        <f>SUM(C17:N17)</f>
        <v>908329.41567487177</v>
      </c>
      <c r="P17" s="405">
        <f t="shared" ref="P17:AA17" si="21">P16*$BR$11</f>
        <v>121347.13160686582</v>
      </c>
      <c r="Q17" s="405">
        <f t="shared" si="21"/>
        <v>126209.86184994764</v>
      </c>
      <c r="R17" s="405">
        <f t="shared" si="21"/>
        <v>126992.42096238708</v>
      </c>
      <c r="S17" s="405">
        <f t="shared" si="21"/>
        <v>124833.03094847671</v>
      </c>
      <c r="T17" s="405">
        <f t="shared" si="21"/>
        <v>123299.70460936688</v>
      </c>
      <c r="U17" s="405">
        <f t="shared" si="21"/>
        <v>110841.47877589178</v>
      </c>
      <c r="V17" s="405">
        <f t="shared" si="21"/>
        <v>98862.354021635678</v>
      </c>
      <c r="W17" s="405">
        <f t="shared" si="21"/>
        <v>85157.927274665475</v>
      </c>
      <c r="X17" s="405">
        <f t="shared" si="21"/>
        <v>72361.551739197428</v>
      </c>
      <c r="Y17" s="405">
        <f t="shared" si="21"/>
        <v>63119.894263121227</v>
      </c>
      <c r="Z17" s="405">
        <f t="shared" si="21"/>
        <v>47827.171778109994</v>
      </c>
      <c r="AA17" s="405">
        <f t="shared" si="21"/>
        <v>53173.895162492488</v>
      </c>
      <c r="AB17" s="400">
        <f>SUM(P17:AA17)</f>
        <v>1154026.4229921584</v>
      </c>
      <c r="AC17" s="170">
        <f t="shared" ref="AC17:AN17" si="22">AC16*$BR$11</f>
        <v>93622.414496481797</v>
      </c>
      <c r="AD17" s="170">
        <f t="shared" si="22"/>
        <v>127907.07578508454</v>
      </c>
      <c r="AE17" s="170">
        <f t="shared" si="22"/>
        <v>158430.00378778222</v>
      </c>
      <c r="AF17" s="170">
        <f t="shared" si="22"/>
        <v>181666.46746258246</v>
      </c>
      <c r="AG17" s="170">
        <f t="shared" si="22"/>
        <v>207247.53373746327</v>
      </c>
      <c r="AH17" s="170">
        <f t="shared" si="22"/>
        <v>214272.47449081496</v>
      </c>
      <c r="AI17" s="170">
        <f t="shared" si="22"/>
        <v>222079.34878753315</v>
      </c>
      <c r="AJ17" s="170">
        <f t="shared" si="22"/>
        <v>229862.77507930703</v>
      </c>
      <c r="AK17" s="170">
        <f t="shared" si="22"/>
        <v>237768.84707226075</v>
      </c>
      <c r="AL17" s="170">
        <f t="shared" si="22"/>
        <v>251307.60851883065</v>
      </c>
      <c r="AM17" s="170">
        <f t="shared" si="22"/>
        <v>253989.9958484488</v>
      </c>
      <c r="AN17" s="404">
        <f t="shared" si="22"/>
        <v>291917.89902613888</v>
      </c>
      <c r="AO17" s="400">
        <f>SUM(AC17:AN17)</f>
        <v>2470072.4440927287</v>
      </c>
      <c r="AP17" s="403">
        <f t="shared" ref="AP17:BA17" si="23">AP16*$BR$11</f>
        <v>299843.12440608768</v>
      </c>
      <c r="AQ17" s="402">
        <f t="shared" si="23"/>
        <v>301480.0417561981</v>
      </c>
      <c r="AR17" s="402">
        <f t="shared" si="23"/>
        <v>293239.67404517974</v>
      </c>
      <c r="AS17" s="402">
        <f t="shared" si="23"/>
        <v>279458.97160580108</v>
      </c>
      <c r="AT17" s="402">
        <f t="shared" si="23"/>
        <v>266675.24613703619</v>
      </c>
      <c r="AU17" s="402">
        <f t="shared" si="23"/>
        <v>230261.48754625773</v>
      </c>
      <c r="AV17" s="402">
        <f t="shared" si="23"/>
        <v>194974.68291268509</v>
      </c>
      <c r="AW17" s="402">
        <f t="shared" si="23"/>
        <v>155069.61569135584</v>
      </c>
      <c r="AX17" s="402">
        <f t="shared" si="23"/>
        <v>117678.67053016847</v>
      </c>
      <c r="AY17" s="402">
        <f t="shared" si="23"/>
        <v>88198.794459840457</v>
      </c>
      <c r="AZ17" s="402">
        <f t="shared" si="23"/>
        <v>45873.88670884465</v>
      </c>
      <c r="BA17" s="401">
        <f t="shared" si="23"/>
        <v>48251.790920586362</v>
      </c>
      <c r="BB17" s="400">
        <f>SUM(AP17:BA17)</f>
        <v>2321005.9867200409</v>
      </c>
      <c r="BC17" s="170">
        <f t="shared" ref="BC17:BN17" si="24">BC16*$BR$11</f>
        <v>84717.210360476383</v>
      </c>
      <c r="BD17" s="160">
        <f t="shared" si="24"/>
        <v>111731.7871880811</v>
      </c>
      <c r="BE17" s="160">
        <f t="shared" si="24"/>
        <v>128329.0453993722</v>
      </c>
      <c r="BF17" s="160">
        <f t="shared" si="24"/>
        <v>135213.23544292527</v>
      </c>
      <c r="BG17" s="160">
        <f t="shared" si="24"/>
        <v>144685.3661928784</v>
      </c>
      <c r="BH17" s="160">
        <f t="shared" si="24"/>
        <v>122006.1207270126</v>
      </c>
      <c r="BI17" s="160">
        <f t="shared" si="24"/>
        <v>100841.03758188395</v>
      </c>
      <c r="BJ17" s="160">
        <f t="shared" si="24"/>
        <v>76175.716535604428</v>
      </c>
      <c r="BK17" s="160">
        <f t="shared" si="24"/>
        <v>53588.121857713166</v>
      </c>
      <c r="BL17" s="160">
        <f t="shared" si="24"/>
        <v>41390.384150943406</v>
      </c>
      <c r="BM17" s="160">
        <f t="shared" si="24"/>
        <v>11170.854824090269</v>
      </c>
      <c r="BN17" s="160">
        <f t="shared" si="24"/>
        <v>41972.167550627826</v>
      </c>
      <c r="BO17" s="399">
        <f>SUM(BC17:BN17)</f>
        <v>1051821.047811609</v>
      </c>
      <c r="BQ17" s="1359">
        <v>2027</v>
      </c>
      <c r="BR17" s="1360">
        <v>2</v>
      </c>
      <c r="BS17" s="1360">
        <v>2</v>
      </c>
      <c r="BT17" s="1360">
        <f>BR17*BS17</f>
        <v>4</v>
      </c>
      <c r="BU17" s="4">
        <v>2</v>
      </c>
    </row>
    <row r="18" spans="2:75" ht="15" thickBot="1">
      <c r="B18" s="398"/>
      <c r="C18" s="398"/>
      <c r="D18" s="398"/>
      <c r="E18" s="398"/>
      <c r="F18" s="398"/>
      <c r="G18" s="398"/>
      <c r="H18" s="398"/>
      <c r="I18" s="398"/>
      <c r="J18" s="398"/>
      <c r="K18" s="398"/>
      <c r="L18" s="398"/>
      <c r="M18" s="398"/>
      <c r="N18" s="398"/>
      <c r="O18" s="398"/>
      <c r="P18" s="398"/>
      <c r="Q18" s="398"/>
      <c r="R18" s="398"/>
      <c r="S18" s="398"/>
      <c r="T18" s="398"/>
      <c r="U18" s="398"/>
      <c r="V18" s="398"/>
      <c r="W18" s="398"/>
      <c r="X18" s="398"/>
      <c r="Y18" s="398"/>
      <c r="Z18" s="398"/>
      <c r="AA18" s="398"/>
      <c r="AB18" s="398"/>
      <c r="AC18" s="398"/>
      <c r="AD18" s="398"/>
      <c r="AE18" s="398"/>
      <c r="AF18" s="398"/>
      <c r="AG18" s="398"/>
      <c r="AH18" s="398"/>
      <c r="AI18" s="398"/>
      <c r="AJ18" s="398"/>
      <c r="AK18" s="398"/>
      <c r="AL18" s="398"/>
      <c r="AM18" s="398"/>
      <c r="AN18" s="398"/>
      <c r="AO18" s="398"/>
      <c r="AP18" s="398"/>
      <c r="AQ18" s="398"/>
      <c r="AR18" s="398"/>
      <c r="AS18" s="398"/>
      <c r="AT18" s="398"/>
      <c r="AU18" s="398"/>
      <c r="AV18" s="398"/>
      <c r="AW18" s="398"/>
      <c r="AX18" s="398"/>
      <c r="AY18" s="398"/>
      <c r="AZ18" s="398"/>
      <c r="BA18" s="398"/>
      <c r="BB18" s="398"/>
      <c r="BC18" s="398"/>
      <c r="BD18" s="398"/>
      <c r="BE18" s="398"/>
      <c r="BF18" s="398"/>
      <c r="BG18" s="398"/>
      <c r="BH18" s="398"/>
      <c r="BI18" s="398"/>
      <c r="BJ18" s="398"/>
      <c r="BK18" s="398"/>
      <c r="BL18" s="398"/>
      <c r="BM18" s="398"/>
      <c r="BN18" s="398"/>
      <c r="BO18" s="398"/>
      <c r="BQ18" s="1366">
        <v>2028</v>
      </c>
      <c r="BR18" s="1367">
        <v>3</v>
      </c>
      <c r="BS18" s="230">
        <v>2</v>
      </c>
      <c r="BT18" s="230">
        <f>BR18*BS18</f>
        <v>6</v>
      </c>
      <c r="BU18" s="397">
        <v>3</v>
      </c>
    </row>
    <row r="19" spans="2:75" ht="15" thickBot="1">
      <c r="B19" s="385" t="s">
        <v>681</v>
      </c>
      <c r="C19" s="392">
        <f t="shared" ref="C19:N19" si="25">C16/$BR$5</f>
        <v>0</v>
      </c>
      <c r="D19" s="392">
        <f t="shared" si="25"/>
        <v>0</v>
      </c>
      <c r="E19" s="392">
        <f t="shared" si="25"/>
        <v>16.187251388129091</v>
      </c>
      <c r="F19" s="392">
        <f t="shared" si="25"/>
        <v>29.953389762711421</v>
      </c>
      <c r="G19" s="392">
        <f t="shared" si="25"/>
        <v>42.623134134081759</v>
      </c>
      <c r="H19" s="392">
        <f t="shared" si="25"/>
        <v>50.924298395535295</v>
      </c>
      <c r="I19" s="392">
        <f t="shared" si="25"/>
        <v>57.286014787396461</v>
      </c>
      <c r="J19" s="392">
        <f t="shared" si="25"/>
        <v>60.867854756392617</v>
      </c>
      <c r="K19" s="392">
        <f t="shared" si="25"/>
        <v>63.278811334937913</v>
      </c>
      <c r="L19" s="392">
        <f t="shared" si="25"/>
        <v>64.37636074799876</v>
      </c>
      <c r="M19" s="392">
        <f t="shared" si="25"/>
        <v>61.846124215048242</v>
      </c>
      <c r="N19" s="396">
        <f t="shared" si="25"/>
        <v>63.822880245841688</v>
      </c>
      <c r="O19" s="395"/>
      <c r="P19" s="394">
        <f t="shared" ref="P19:AA19" si="26">P16/$BR$5</f>
        <v>68.28859809894108</v>
      </c>
      <c r="Q19" s="392">
        <f t="shared" si="26"/>
        <v>71.02511957115189</v>
      </c>
      <c r="R19" s="392">
        <f t="shared" si="26"/>
        <v>71.465507934769533</v>
      </c>
      <c r="S19" s="392">
        <f t="shared" si="26"/>
        <v>70.2503023106553</v>
      </c>
      <c r="T19" s="392">
        <f t="shared" si="26"/>
        <v>69.387416598076442</v>
      </c>
      <c r="U19" s="392">
        <f t="shared" si="26"/>
        <v>62.376498699132959</v>
      </c>
      <c r="V19" s="392">
        <f t="shared" si="26"/>
        <v>55.635196905772837</v>
      </c>
      <c r="W19" s="392">
        <f t="shared" si="26"/>
        <v>47.922974310086225</v>
      </c>
      <c r="X19" s="392">
        <f t="shared" si="26"/>
        <v>40.721761273623677</v>
      </c>
      <c r="Y19" s="392">
        <f t="shared" si="26"/>
        <v>35.520980465747257</v>
      </c>
      <c r="Z19" s="392">
        <f t="shared" si="26"/>
        <v>26.914937901833166</v>
      </c>
      <c r="AA19" s="392">
        <f t="shared" si="26"/>
        <v>29.923828507712539</v>
      </c>
      <c r="AB19" s="393"/>
      <c r="AC19" s="392">
        <f t="shared" ref="AC19:AN19" si="27">AC16/$BR$5</f>
        <v>52.686399356480429</v>
      </c>
      <c r="AD19" s="392">
        <f t="shared" si="27"/>
        <v>71.980233703391747</v>
      </c>
      <c r="AE19" s="392">
        <f t="shared" si="27"/>
        <v>89.157137150371966</v>
      </c>
      <c r="AF19" s="392">
        <f t="shared" si="27"/>
        <v>102.23355278638273</v>
      </c>
      <c r="AG19" s="392">
        <f t="shared" si="27"/>
        <v>116.62940319220206</v>
      </c>
      <c r="AH19" s="392">
        <f t="shared" si="27"/>
        <v>120.58271753447008</v>
      </c>
      <c r="AI19" s="392">
        <f t="shared" si="27"/>
        <v>124.97606819878341</v>
      </c>
      <c r="AJ19" s="392">
        <f t="shared" si="27"/>
        <v>129.35622340174004</v>
      </c>
      <c r="AK19" s="392">
        <f t="shared" si="27"/>
        <v>133.80539797817119</v>
      </c>
      <c r="AL19" s="392">
        <f t="shared" si="27"/>
        <v>141.42439174373902</v>
      </c>
      <c r="AM19" s="392">
        <f t="shared" si="27"/>
        <v>142.93391626131421</v>
      </c>
      <c r="AN19" s="392">
        <f t="shared" si="27"/>
        <v>164.27799998657204</v>
      </c>
      <c r="AO19" s="393"/>
      <c r="AP19" s="392">
        <f t="shared" ref="AP19:BA19" si="28">AP16/$BR$5</f>
        <v>168.7379532104209</v>
      </c>
      <c r="AQ19" s="392">
        <f t="shared" si="28"/>
        <v>169.65913519109617</v>
      </c>
      <c r="AR19" s="392">
        <f t="shared" si="28"/>
        <v>165.02183432247483</v>
      </c>
      <c r="AS19" s="392">
        <f t="shared" si="28"/>
        <v>157.26668726673199</v>
      </c>
      <c r="AT19" s="392">
        <f t="shared" si="28"/>
        <v>150.07259310740793</v>
      </c>
      <c r="AU19" s="392">
        <f t="shared" si="28"/>
        <v>129.58060048467635</v>
      </c>
      <c r="AV19" s="392">
        <f t="shared" si="28"/>
        <v>109.72280584289879</v>
      </c>
      <c r="AW19" s="392">
        <f t="shared" si="28"/>
        <v>87.266064908823054</v>
      </c>
      <c r="AX19" s="392">
        <f t="shared" si="28"/>
        <v>66.224156518897829</v>
      </c>
      <c r="AY19" s="392">
        <f t="shared" si="28"/>
        <v>49.634234842831475</v>
      </c>
      <c r="AZ19" s="392">
        <f t="shared" si="28"/>
        <v>25.815718684193445</v>
      </c>
      <c r="BA19" s="392">
        <f t="shared" si="28"/>
        <v>27.153894073122224</v>
      </c>
      <c r="BB19" s="393"/>
      <c r="BC19" s="392">
        <f t="shared" ref="BC19:BN19" si="29">BC16/$BR$5</f>
        <v>47.67495905146464</v>
      </c>
      <c r="BD19" s="392">
        <f t="shared" si="29"/>
        <v>62.877523424967208</v>
      </c>
      <c r="BE19" s="392">
        <f t="shared" si="29"/>
        <v>72.217698841780106</v>
      </c>
      <c r="BF19" s="392">
        <f t="shared" si="29"/>
        <v>76.091805142405079</v>
      </c>
      <c r="BG19" s="392">
        <f t="shared" si="29"/>
        <v>81.422285734396041</v>
      </c>
      <c r="BH19" s="392">
        <f t="shared" si="29"/>
        <v>68.659446940453634</v>
      </c>
      <c r="BI19" s="392">
        <f t="shared" si="29"/>
        <v>56.748709228820864</v>
      </c>
      <c r="BJ19" s="392">
        <f t="shared" si="29"/>
        <v>42.86819822203713</v>
      </c>
      <c r="BK19" s="392">
        <f t="shared" si="29"/>
        <v>30.15693628650553</v>
      </c>
      <c r="BL19" s="392">
        <f t="shared" si="29"/>
        <v>23.292609153726648</v>
      </c>
      <c r="BM19" s="392">
        <f t="shared" si="29"/>
        <v>6.2864445611729316</v>
      </c>
      <c r="BN19" s="392">
        <f t="shared" si="29"/>
        <v>23.620010158065153</v>
      </c>
      <c r="BO19" s="450"/>
      <c r="BS19" s="1324" t="s">
        <v>609</v>
      </c>
      <c r="BT19" s="1316">
        <f>SUM(BT14:BT18)</f>
        <v>17</v>
      </c>
      <c r="BU19" s="1317">
        <f>SUM(BU14:BU18)</f>
        <v>10</v>
      </c>
      <c r="BW19" t="s">
        <v>682</v>
      </c>
    </row>
    <row r="20" spans="2:75" ht="15" thickBot="1">
      <c r="B20" s="385" t="s">
        <v>683</v>
      </c>
      <c r="C20" s="3">
        <f t="shared" ref="C20:N20" si="30">C19*$BR$6</f>
        <v>0</v>
      </c>
      <c r="D20" s="3">
        <f t="shared" si="30"/>
        <v>0</v>
      </c>
      <c r="E20" s="3">
        <f t="shared" si="30"/>
        <v>34.802590484477548</v>
      </c>
      <c r="F20" s="3">
        <f t="shared" si="30"/>
        <v>64.399787989829548</v>
      </c>
      <c r="G20" s="3">
        <f t="shared" si="30"/>
        <v>91.639738388275774</v>
      </c>
      <c r="H20" s="3">
        <f t="shared" si="30"/>
        <v>109.48724155040088</v>
      </c>
      <c r="I20" s="3">
        <f t="shared" si="30"/>
        <v>123.16493179290238</v>
      </c>
      <c r="J20" s="3">
        <f t="shared" si="30"/>
        <v>130.86588772624413</v>
      </c>
      <c r="K20" s="3">
        <f t="shared" si="30"/>
        <v>136.0494443701165</v>
      </c>
      <c r="L20" s="3">
        <f t="shared" si="30"/>
        <v>138.40917560819733</v>
      </c>
      <c r="M20" s="3">
        <f t="shared" si="30"/>
        <v>132.9691670623537</v>
      </c>
      <c r="N20" s="391">
        <f t="shared" si="30"/>
        <v>137.21919252855963</v>
      </c>
      <c r="O20" s="390"/>
      <c r="P20" s="389">
        <f t="shared" ref="P20:AA20" si="31">P19*$BR$6</f>
        <v>146.82048591272331</v>
      </c>
      <c r="Q20" s="3">
        <f t="shared" si="31"/>
        <v>152.70400707797657</v>
      </c>
      <c r="R20" s="3">
        <f t="shared" si="31"/>
        <v>153.6508420597545</v>
      </c>
      <c r="S20" s="3">
        <f t="shared" si="31"/>
        <v>151.03814996790888</v>
      </c>
      <c r="T20" s="3">
        <f t="shared" si="31"/>
        <v>149.18294568586435</v>
      </c>
      <c r="U20" s="3">
        <f t="shared" si="31"/>
        <v>134.10947220313585</v>
      </c>
      <c r="V20" s="3">
        <f t="shared" si="31"/>
        <v>119.6156733474116</v>
      </c>
      <c r="W20" s="3">
        <f t="shared" si="31"/>
        <v>103.03439476668538</v>
      </c>
      <c r="X20" s="3">
        <f t="shared" si="31"/>
        <v>87.5517867382909</v>
      </c>
      <c r="Y20" s="3">
        <f t="shared" si="31"/>
        <v>76.370108001356598</v>
      </c>
      <c r="Z20" s="3">
        <f t="shared" si="31"/>
        <v>57.867116488941306</v>
      </c>
      <c r="AA20" s="3">
        <f t="shared" si="31"/>
        <v>64.336231291581953</v>
      </c>
      <c r="AB20" s="388"/>
      <c r="AC20" s="3">
        <f t="shared" ref="AC20:AN20" si="32">AC19*$BR$6</f>
        <v>113.27575861643292</v>
      </c>
      <c r="AD20" s="3">
        <f t="shared" si="32"/>
        <v>154.75750246229225</v>
      </c>
      <c r="AE20" s="3">
        <f t="shared" si="32"/>
        <v>191.68784487329972</v>
      </c>
      <c r="AF20" s="3">
        <f t="shared" si="32"/>
        <v>219.80213849072285</v>
      </c>
      <c r="AG20" s="3">
        <f t="shared" si="32"/>
        <v>250.75321686323443</v>
      </c>
      <c r="AH20" s="3">
        <f t="shared" si="32"/>
        <v>259.25284269911066</v>
      </c>
      <c r="AI20" s="3">
        <f t="shared" si="32"/>
        <v>268.6985466273843</v>
      </c>
      <c r="AJ20" s="3">
        <f t="shared" si="32"/>
        <v>278.11588031374106</v>
      </c>
      <c r="AK20" s="3">
        <f t="shared" si="32"/>
        <v>287.68160565306806</v>
      </c>
      <c r="AL20" s="3">
        <f t="shared" si="32"/>
        <v>304.0624422490389</v>
      </c>
      <c r="AM20" s="3">
        <f t="shared" si="32"/>
        <v>307.30791996182552</v>
      </c>
      <c r="AN20" s="3">
        <f t="shared" si="32"/>
        <v>353.19769997112985</v>
      </c>
      <c r="AO20" s="388"/>
      <c r="AP20" s="3">
        <f t="shared" ref="AP20:BA20" si="33">AP19*$BR$6</f>
        <v>362.78659940240493</v>
      </c>
      <c r="AQ20" s="3">
        <f t="shared" si="33"/>
        <v>364.76714066085674</v>
      </c>
      <c r="AR20" s="3">
        <f t="shared" si="33"/>
        <v>354.79694379332085</v>
      </c>
      <c r="AS20" s="3">
        <f t="shared" si="33"/>
        <v>338.12337762347374</v>
      </c>
      <c r="AT20" s="3">
        <f t="shared" si="33"/>
        <v>322.65607518092702</v>
      </c>
      <c r="AU20" s="3">
        <f t="shared" si="33"/>
        <v>278.59829104205414</v>
      </c>
      <c r="AV20" s="3">
        <f t="shared" si="33"/>
        <v>235.9040325622324</v>
      </c>
      <c r="AW20" s="3">
        <f t="shared" si="33"/>
        <v>187.62203955396956</v>
      </c>
      <c r="AX20" s="3">
        <f t="shared" si="33"/>
        <v>142.38193651563031</v>
      </c>
      <c r="AY20" s="3">
        <f t="shared" si="33"/>
        <v>106.71360491208766</v>
      </c>
      <c r="AZ20" s="3">
        <f t="shared" si="33"/>
        <v>55.503795171015902</v>
      </c>
      <c r="BA20" s="3">
        <f t="shared" si="33"/>
        <v>58.380872257212779</v>
      </c>
      <c r="BB20" s="388"/>
      <c r="BC20" s="3">
        <f t="shared" ref="BC20:BN20" si="34">BC19*$BR$6</f>
        <v>102.50116196064897</v>
      </c>
      <c r="BD20" s="3">
        <f t="shared" si="34"/>
        <v>135.18667536367948</v>
      </c>
      <c r="BE20" s="3">
        <f t="shared" si="34"/>
        <v>155.26805250982721</v>
      </c>
      <c r="BF20" s="3">
        <f t="shared" si="34"/>
        <v>163.59738105617092</v>
      </c>
      <c r="BG20" s="3">
        <f t="shared" si="34"/>
        <v>175.05791432895148</v>
      </c>
      <c r="BH20" s="3">
        <f t="shared" si="34"/>
        <v>147.61781092197532</v>
      </c>
      <c r="BI20" s="3">
        <f t="shared" si="34"/>
        <v>122.00972484196485</v>
      </c>
      <c r="BJ20" s="3">
        <f t="shared" si="34"/>
        <v>92.166626177379825</v>
      </c>
      <c r="BK20" s="3">
        <f t="shared" si="34"/>
        <v>64.837413015986883</v>
      </c>
      <c r="BL20" s="3">
        <f t="shared" si="34"/>
        <v>50.079109680512289</v>
      </c>
      <c r="BM20" s="3">
        <f t="shared" si="34"/>
        <v>13.515855806521802</v>
      </c>
      <c r="BN20" s="3">
        <f t="shared" si="34"/>
        <v>50.783021839840075</v>
      </c>
      <c r="BO20" s="451"/>
    </row>
    <row r="21" spans="2:75" ht="15" thickBot="1">
      <c r="B21" s="385" t="s">
        <v>180</v>
      </c>
      <c r="C21" s="14">
        <f t="shared" ref="C21:N21" si="35">C20/8</f>
        <v>0</v>
      </c>
      <c r="D21" s="14">
        <f t="shared" si="35"/>
        <v>0</v>
      </c>
      <c r="E21" s="14">
        <f t="shared" si="35"/>
        <v>4.3503238105596935</v>
      </c>
      <c r="F21" s="14">
        <f t="shared" si="35"/>
        <v>8.0499734987286935</v>
      </c>
      <c r="G21" s="14">
        <f t="shared" si="35"/>
        <v>11.454967298534472</v>
      </c>
      <c r="H21" s="14">
        <f t="shared" si="35"/>
        <v>13.68590519380011</v>
      </c>
      <c r="I21" s="14">
        <f t="shared" si="35"/>
        <v>15.395616474112797</v>
      </c>
      <c r="J21" s="14">
        <f t="shared" si="35"/>
        <v>16.358235965780516</v>
      </c>
      <c r="K21" s="14">
        <f t="shared" si="35"/>
        <v>17.006180546264563</v>
      </c>
      <c r="L21" s="14">
        <f t="shared" si="35"/>
        <v>17.301146951024666</v>
      </c>
      <c r="M21" s="14">
        <f t="shared" si="35"/>
        <v>16.621145882794213</v>
      </c>
      <c r="N21" s="384">
        <f t="shared" si="35"/>
        <v>17.152399066069954</v>
      </c>
      <c r="O21" s="383"/>
      <c r="P21" s="382">
        <f t="shared" ref="P21:AA21" si="36">P20/8</f>
        <v>18.352560739090414</v>
      </c>
      <c r="Q21" s="14">
        <f t="shared" si="36"/>
        <v>19.088000884747071</v>
      </c>
      <c r="R21" s="14">
        <f t="shared" si="36"/>
        <v>19.206355257469312</v>
      </c>
      <c r="S21" s="14">
        <f t="shared" si="36"/>
        <v>18.87976874598861</v>
      </c>
      <c r="T21" s="14">
        <f t="shared" si="36"/>
        <v>18.647868210733044</v>
      </c>
      <c r="U21" s="14">
        <f t="shared" si="36"/>
        <v>16.763684025391981</v>
      </c>
      <c r="V21" s="14">
        <f t="shared" si="36"/>
        <v>14.95195916842645</v>
      </c>
      <c r="W21" s="14">
        <f t="shared" si="36"/>
        <v>12.879299345835673</v>
      </c>
      <c r="X21" s="14">
        <f t="shared" si="36"/>
        <v>10.943973342286363</v>
      </c>
      <c r="Y21" s="14">
        <f t="shared" si="36"/>
        <v>9.5462635001695748</v>
      </c>
      <c r="Z21" s="14">
        <f t="shared" si="36"/>
        <v>7.2333895611176633</v>
      </c>
      <c r="AA21" s="14">
        <f t="shared" si="36"/>
        <v>8.0420289114477441</v>
      </c>
      <c r="AB21" s="381"/>
      <c r="AC21" s="14">
        <f t="shared" ref="AC21:AN21" si="37">AC20/8</f>
        <v>14.159469827054115</v>
      </c>
      <c r="AD21" s="14">
        <f t="shared" si="37"/>
        <v>19.344687807786531</v>
      </c>
      <c r="AE21" s="14">
        <f t="shared" si="37"/>
        <v>23.960980609162466</v>
      </c>
      <c r="AF21" s="14">
        <f t="shared" si="37"/>
        <v>27.475267311340357</v>
      </c>
      <c r="AG21" s="14">
        <f t="shared" si="37"/>
        <v>31.344152107904304</v>
      </c>
      <c r="AH21" s="14">
        <f t="shared" si="37"/>
        <v>32.406605337388832</v>
      </c>
      <c r="AI21" s="14">
        <f t="shared" si="37"/>
        <v>33.587318328423038</v>
      </c>
      <c r="AJ21" s="14">
        <f t="shared" si="37"/>
        <v>34.764485039217632</v>
      </c>
      <c r="AK21" s="14">
        <f t="shared" si="37"/>
        <v>35.960200706633508</v>
      </c>
      <c r="AL21" s="14">
        <f t="shared" si="37"/>
        <v>38.007805281129862</v>
      </c>
      <c r="AM21" s="14">
        <f t="shared" si="37"/>
        <v>38.41348999522819</v>
      </c>
      <c r="AN21" s="14">
        <f t="shared" si="37"/>
        <v>44.149712496391231</v>
      </c>
      <c r="AO21" s="381"/>
      <c r="AP21" s="14">
        <f t="shared" ref="AP21:BA21" si="38">AP20/8</f>
        <v>45.348324925300616</v>
      </c>
      <c r="AQ21" s="14">
        <f t="shared" si="38"/>
        <v>45.595892582607092</v>
      </c>
      <c r="AR21" s="14">
        <f t="shared" si="38"/>
        <v>44.349617974165106</v>
      </c>
      <c r="AS21" s="14">
        <f t="shared" si="38"/>
        <v>42.265422202934218</v>
      </c>
      <c r="AT21" s="14">
        <f t="shared" si="38"/>
        <v>40.332009397615877</v>
      </c>
      <c r="AU21" s="14">
        <f t="shared" si="38"/>
        <v>34.824786380256768</v>
      </c>
      <c r="AV21" s="14">
        <f t="shared" si="38"/>
        <v>29.48800407027905</v>
      </c>
      <c r="AW21" s="14">
        <f t="shared" si="38"/>
        <v>23.452754944246195</v>
      </c>
      <c r="AX21" s="14">
        <f t="shared" si="38"/>
        <v>17.797742064453789</v>
      </c>
      <c r="AY21" s="14">
        <f t="shared" si="38"/>
        <v>13.339200614010958</v>
      </c>
      <c r="AZ21" s="14">
        <f t="shared" si="38"/>
        <v>6.9379743963769878</v>
      </c>
      <c r="BA21" s="14">
        <f t="shared" si="38"/>
        <v>7.2976090321515974</v>
      </c>
      <c r="BB21" s="381"/>
      <c r="BC21" s="14">
        <f t="shared" ref="BC21:BN21" si="39">BC20/8</f>
        <v>12.812645245081121</v>
      </c>
      <c r="BD21" s="14">
        <f t="shared" si="39"/>
        <v>16.898334420459936</v>
      </c>
      <c r="BE21" s="14">
        <f t="shared" si="39"/>
        <v>19.408506563728402</v>
      </c>
      <c r="BF21" s="14">
        <f t="shared" si="39"/>
        <v>20.449672632021365</v>
      </c>
      <c r="BG21" s="14">
        <f t="shared" si="39"/>
        <v>21.882239291118935</v>
      </c>
      <c r="BH21" s="14">
        <f t="shared" si="39"/>
        <v>18.452226365246915</v>
      </c>
      <c r="BI21" s="14">
        <f t="shared" si="39"/>
        <v>15.251215605245607</v>
      </c>
      <c r="BJ21" s="14">
        <f t="shared" si="39"/>
        <v>11.520828272172478</v>
      </c>
      <c r="BK21" s="14">
        <f t="shared" si="39"/>
        <v>8.1046766269983603</v>
      </c>
      <c r="BL21" s="14">
        <f t="shared" si="39"/>
        <v>6.2598887100640361</v>
      </c>
      <c r="BM21" s="14">
        <f t="shared" si="39"/>
        <v>1.6894819758152253</v>
      </c>
      <c r="BN21" s="14">
        <f t="shared" si="39"/>
        <v>6.3478777299800093</v>
      </c>
      <c r="BO21" s="452"/>
      <c r="BQ21" s="387" t="s">
        <v>684</v>
      </c>
      <c r="BR21" s="386">
        <f>SUM(O17:BO17)</f>
        <v>14902181.218907943</v>
      </c>
    </row>
    <row r="22" spans="2:75" ht="15" thickBot="1"/>
    <row r="23" spans="2:75">
      <c r="BQ23" s="380" t="s">
        <v>345</v>
      </c>
      <c r="BR23" s="379" t="s">
        <v>654</v>
      </c>
      <c r="BS23" s="378" t="s">
        <v>147</v>
      </c>
    </row>
    <row r="24" spans="2:75">
      <c r="BQ24" s="51" t="s">
        <v>685</v>
      </c>
      <c r="BR24" s="212">
        <v>71775000</v>
      </c>
      <c r="BS24" s="235">
        <f>BR24*2</f>
        <v>143550000</v>
      </c>
    </row>
    <row r="25" spans="2:75">
      <c r="BQ25" s="51" t="s">
        <v>656</v>
      </c>
      <c r="BR25" s="212">
        <f>'3.7 - Costos MOD'!$E$65</f>
        <v>18705278.056403253</v>
      </c>
      <c r="BS25" s="235">
        <f>BR25*BT19</f>
        <v>317989726.95885533</v>
      </c>
    </row>
    <row r="26" spans="2:75">
      <c r="BQ26" s="51" t="s">
        <v>659</v>
      </c>
      <c r="BR26" s="212">
        <f>'3.7 - Costos MOD'!$E$66</f>
        <v>19542041.095022555</v>
      </c>
      <c r="BS26" s="286">
        <f>BR26*BU19</f>
        <v>195420410.95022556</v>
      </c>
    </row>
    <row r="27" spans="2:75" ht="15" thickBot="1">
      <c r="BQ27" s="377" t="s">
        <v>686</v>
      </c>
      <c r="BR27" s="376">
        <f>BR11</f>
        <v>7.1078999999999999</v>
      </c>
      <c r="BS27" s="375">
        <f>BR21</f>
        <v>14902181.218907943</v>
      </c>
    </row>
    <row r="28" spans="2:75" ht="15" thickBot="1">
      <c r="BQ28" s="1612" t="s">
        <v>609</v>
      </c>
      <c r="BR28" s="1613"/>
      <c r="BS28" s="374">
        <f>SUM(BS24:BS27)</f>
        <v>671862319.12798882</v>
      </c>
    </row>
    <row r="73" spans="16:16">
      <c r="P73" s="185"/>
    </row>
    <row r="74" spans="16:16">
      <c r="P74" s="185"/>
    </row>
    <row r="75" spans="16:16">
      <c r="P75" s="185"/>
    </row>
    <row r="76" spans="16:16">
      <c r="P76" s="185"/>
    </row>
    <row r="77" spans="16:16">
      <c r="P77" s="185"/>
    </row>
    <row r="78" spans="16:16">
      <c r="P78" s="185"/>
    </row>
    <row r="79" spans="16:16">
      <c r="P79" s="185"/>
    </row>
    <row r="80" spans="16:16">
      <c r="P80" s="185"/>
    </row>
    <row r="81" spans="3:16">
      <c r="P81" s="185"/>
    </row>
    <row r="82" spans="3:16">
      <c r="P82" s="185"/>
    </row>
    <row r="83" spans="3:16">
      <c r="P83" s="185"/>
    </row>
    <row r="84" spans="3:16">
      <c r="P84" s="185"/>
    </row>
    <row r="89" spans="3:16">
      <c r="C89" s="571"/>
      <c r="D89" s="185"/>
    </row>
    <row r="90" spans="3:16">
      <c r="C90" s="571"/>
      <c r="D90" s="185"/>
    </row>
    <row r="91" spans="3:16">
      <c r="C91" s="571"/>
      <c r="D91" s="185"/>
    </row>
    <row r="92" spans="3:16">
      <c r="C92" s="571"/>
      <c r="D92" s="185"/>
    </row>
    <row r="93" spans="3:16">
      <c r="C93" s="571"/>
      <c r="D93" s="185"/>
    </row>
    <row r="94" spans="3:16">
      <c r="C94" s="571"/>
      <c r="D94" s="185"/>
    </row>
    <row r="95" spans="3:16">
      <c r="C95" s="571"/>
      <c r="D95" s="185"/>
    </row>
    <row r="96" spans="3:16">
      <c r="C96" s="571"/>
      <c r="D96" s="185"/>
    </row>
    <row r="97" spans="3:4">
      <c r="C97" s="571"/>
      <c r="D97" s="185"/>
    </row>
    <row r="98" spans="3:4">
      <c r="C98" s="571"/>
      <c r="D98" s="185"/>
    </row>
    <row r="99" spans="3:4">
      <c r="C99" s="571"/>
      <c r="D99" s="185"/>
    </row>
    <row r="100" spans="3:4">
      <c r="C100" s="571"/>
      <c r="D100" s="185"/>
    </row>
  </sheetData>
  <mergeCells count="6">
    <mergeCell ref="BQ28:BR28"/>
    <mergeCell ref="BC4:BO4"/>
    <mergeCell ref="P4:AB4"/>
    <mergeCell ref="C4:O4"/>
    <mergeCell ref="AC4:AO4"/>
    <mergeCell ref="AP4:BB4"/>
  </mergeCells>
  <hyperlinks>
    <hyperlink ref="C2" location="Indice!A1" display="INDICE" xr:uid="{00000000-0004-0000-1100-000000000000}"/>
  </hyperlink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92D050"/>
  </sheetPr>
  <dimension ref="B2:G55"/>
  <sheetViews>
    <sheetView showGridLines="0" topLeftCell="A3" zoomScale="85" zoomScaleNormal="85" workbookViewId="0">
      <selection activeCell="C13" sqref="C13"/>
    </sheetView>
  </sheetViews>
  <sheetFormatPr defaultColWidth="11.5703125" defaultRowHeight="14.45"/>
  <cols>
    <col min="1" max="1" width="4.28515625" customWidth="1"/>
    <col min="2" max="2" width="29.140625" customWidth="1"/>
    <col min="3" max="3" width="16.140625" customWidth="1"/>
    <col min="4" max="4" width="17.140625" customWidth="1"/>
    <col min="5" max="5" width="20.85546875" bestFit="1" customWidth="1"/>
    <col min="6" max="9" width="20.7109375" customWidth="1"/>
    <col min="10" max="10" width="21.85546875" customWidth="1"/>
    <col min="11" max="11" width="22.28515625" bestFit="1" customWidth="1"/>
    <col min="12" max="12" width="12.7109375" bestFit="1" customWidth="1"/>
    <col min="14" max="23" width="12.7109375" bestFit="1" customWidth="1"/>
    <col min="24" max="24" width="13.7109375" bestFit="1" customWidth="1"/>
    <col min="25" max="35" width="12.7109375" bestFit="1" customWidth="1"/>
    <col min="37" max="37" width="13.7109375" bestFit="1" customWidth="1"/>
    <col min="38" max="44" width="12.7109375" bestFit="1" customWidth="1"/>
    <col min="45" max="49" width="13.7109375" bestFit="1" customWidth="1"/>
    <col min="50" max="50" width="15.28515625" bestFit="1" customWidth="1"/>
    <col min="51" max="62" width="13.7109375" bestFit="1" customWidth="1"/>
    <col min="65" max="65" width="10.85546875" bestFit="1" customWidth="1"/>
    <col min="66" max="66" width="12.7109375" bestFit="1" customWidth="1"/>
    <col min="67" max="67" width="13.7109375" bestFit="1" customWidth="1"/>
  </cols>
  <sheetData>
    <row r="2" spans="2:7">
      <c r="B2" s="1305" t="s">
        <v>126</v>
      </c>
      <c r="C2" s="337" t="s">
        <v>49</v>
      </c>
    </row>
    <row r="3" spans="2:7" ht="15" thickBot="1"/>
    <row r="4" spans="2:7" ht="19.899999999999999" customHeight="1">
      <c r="B4" s="1361" t="s">
        <v>687</v>
      </c>
      <c r="C4" s="1362"/>
      <c r="D4" s="1363"/>
      <c r="E4" s="1305"/>
      <c r="F4" s="1305"/>
      <c r="G4" s="1305"/>
    </row>
    <row r="5" spans="2:7" ht="22.9" customHeight="1" thickBot="1">
      <c r="B5" s="271" t="s">
        <v>688</v>
      </c>
      <c r="C5" s="270" t="s">
        <v>689</v>
      </c>
      <c r="D5" s="133" t="s">
        <v>129</v>
      </c>
      <c r="E5" s="1305"/>
      <c r="F5" s="1305"/>
      <c r="G5" s="1305"/>
    </row>
    <row r="6" spans="2:7">
      <c r="B6" s="132" t="s">
        <v>690</v>
      </c>
      <c r="C6" s="131">
        <v>4</v>
      </c>
      <c r="D6" s="45" t="s">
        <v>691</v>
      </c>
      <c r="G6" s="1305"/>
    </row>
    <row r="7" spans="2:7">
      <c r="B7" s="124" t="s">
        <v>692</v>
      </c>
      <c r="C7" s="1360">
        <f>48</f>
        <v>48</v>
      </c>
      <c r="D7" s="4" t="s">
        <v>691</v>
      </c>
      <c r="G7" s="1305"/>
    </row>
    <row r="8" spans="2:7" ht="15" thickBot="1">
      <c r="B8" s="125" t="s">
        <v>693</v>
      </c>
      <c r="C8" s="1367">
        <v>3</v>
      </c>
      <c r="D8" s="5" t="s">
        <v>691</v>
      </c>
      <c r="G8" s="1305"/>
    </row>
    <row r="9" spans="2:7">
      <c r="B9" s="1305"/>
      <c r="C9" s="1305"/>
      <c r="D9" s="1305"/>
      <c r="G9" s="1305"/>
    </row>
    <row r="10" spans="2:7">
      <c r="B10" s="126" t="s">
        <v>694</v>
      </c>
      <c r="C10" s="127">
        <f>+C8+C7+C6</f>
        <v>55</v>
      </c>
      <c r="D10" s="127" t="s">
        <v>695</v>
      </c>
      <c r="E10" s="126" t="s">
        <v>696</v>
      </c>
    </row>
    <row r="11" spans="2:7" ht="15" thickBot="1">
      <c r="B11" s="1305"/>
      <c r="C11" s="1305"/>
      <c r="D11" s="1305"/>
      <c r="E11" s="1305"/>
      <c r="F11" s="1305"/>
      <c r="G11" s="1305"/>
    </row>
    <row r="12" spans="2:7">
      <c r="B12" s="128" t="s">
        <v>697</v>
      </c>
      <c r="C12" s="1358">
        <f>ROUNDDOWN(3600/C10,0)</f>
        <v>65</v>
      </c>
      <c r="D12" s="22" t="s">
        <v>483</v>
      </c>
    </row>
    <row r="13" spans="2:7" ht="15" thickBot="1">
      <c r="B13" s="32" t="s">
        <v>698</v>
      </c>
      <c r="C13" s="129">
        <v>32</v>
      </c>
      <c r="D13" s="5" t="s">
        <v>483</v>
      </c>
      <c r="G13" s="1305"/>
    </row>
    <row r="14" spans="2:7" ht="15" thickBot="1"/>
    <row r="15" spans="2:7" ht="23.65" customHeight="1" thickBot="1">
      <c r="B15" s="1350" t="s">
        <v>104</v>
      </c>
      <c r="C15" s="1323"/>
      <c r="D15" s="1351"/>
    </row>
    <row r="16" spans="2:7">
      <c r="B16" s="130" t="s">
        <v>699</v>
      </c>
      <c r="C16" s="131">
        <v>8</v>
      </c>
      <c r="D16" s="45" t="s">
        <v>700</v>
      </c>
    </row>
    <row r="17" spans="2:7">
      <c r="B17" s="51" t="s">
        <v>701</v>
      </c>
      <c r="C17" s="1360">
        <v>12</v>
      </c>
      <c r="D17" s="4" t="s">
        <v>700</v>
      </c>
    </row>
    <row r="18" spans="2:7">
      <c r="B18" s="51" t="s">
        <v>702</v>
      </c>
      <c r="C18" s="1360">
        <v>16</v>
      </c>
      <c r="D18" s="4" t="s">
        <v>700</v>
      </c>
    </row>
    <row r="19" spans="2:7">
      <c r="B19" s="51" t="s">
        <v>703</v>
      </c>
      <c r="C19" s="1360">
        <v>250</v>
      </c>
      <c r="D19" s="4" t="s">
        <v>704</v>
      </c>
      <c r="F19" t="s">
        <v>705</v>
      </c>
    </row>
    <row r="20" spans="2:7">
      <c r="B20" s="51" t="s">
        <v>706</v>
      </c>
      <c r="C20" s="1360">
        <f>C16*$C$19</f>
        <v>2000</v>
      </c>
      <c r="D20" s="4" t="s">
        <v>483</v>
      </c>
    </row>
    <row r="21" spans="2:7">
      <c r="B21" s="51" t="s">
        <v>707</v>
      </c>
      <c r="C21" s="1360">
        <f>C17*$C$19</f>
        <v>3000</v>
      </c>
      <c r="D21" s="4" t="s">
        <v>483</v>
      </c>
    </row>
    <row r="22" spans="2:7" ht="15" thickBot="1">
      <c r="B22" s="32" t="s">
        <v>708</v>
      </c>
      <c r="C22" s="1367">
        <f>C18*$C$19</f>
        <v>4000</v>
      </c>
      <c r="D22" s="5" t="s">
        <v>483</v>
      </c>
    </row>
    <row r="24" spans="2:7" ht="15" thickBot="1"/>
    <row r="25" spans="2:7">
      <c r="B25" s="1460" t="s">
        <v>709</v>
      </c>
      <c r="C25" s="1488" t="s">
        <v>710</v>
      </c>
      <c r="D25" s="1486"/>
      <c r="E25" s="1616"/>
      <c r="F25" s="453" t="s">
        <v>711</v>
      </c>
      <c r="G25" s="1614" t="s">
        <v>147</v>
      </c>
    </row>
    <row r="26" spans="2:7" ht="15" thickBot="1">
      <c r="B26" s="1461"/>
      <c r="C26" s="1338" t="s">
        <v>675</v>
      </c>
      <c r="D26" s="1338" t="s">
        <v>712</v>
      </c>
      <c r="E26" s="1338" t="s">
        <v>676</v>
      </c>
      <c r="F26" s="833" t="s">
        <v>713</v>
      </c>
      <c r="G26" s="1615"/>
    </row>
    <row r="27" spans="2:7">
      <c r="B27" s="181">
        <v>2024</v>
      </c>
      <c r="C27" s="832">
        <v>1</v>
      </c>
      <c r="D27" s="832">
        <v>1</v>
      </c>
      <c r="E27" s="832">
        <v>1</v>
      </c>
      <c r="F27" s="131">
        <v>2</v>
      </c>
      <c r="G27" s="45">
        <f>SUM(C27:F27)</f>
        <v>5</v>
      </c>
    </row>
    <row r="28" spans="2:7">
      <c r="B28" s="182">
        <v>2025</v>
      </c>
      <c r="C28" s="488">
        <v>2</v>
      </c>
      <c r="D28" s="488">
        <v>2</v>
      </c>
      <c r="E28" s="488">
        <v>2</v>
      </c>
      <c r="F28" s="1360">
        <v>2</v>
      </c>
      <c r="G28" s="45">
        <f>SUM(C28:F28)</f>
        <v>8</v>
      </c>
    </row>
    <row r="29" spans="2:7">
      <c r="B29" s="182">
        <v>2026</v>
      </c>
      <c r="C29" s="488">
        <v>4</v>
      </c>
      <c r="D29" s="488">
        <v>2</v>
      </c>
      <c r="E29" s="488">
        <v>2</v>
      </c>
      <c r="F29" s="1360">
        <v>4</v>
      </c>
      <c r="G29" s="45">
        <f>SUM(C29:F29)</f>
        <v>12</v>
      </c>
    </row>
    <row r="30" spans="2:7">
      <c r="B30" s="182">
        <v>2027</v>
      </c>
      <c r="C30" s="488">
        <v>4</v>
      </c>
      <c r="D30" s="488">
        <v>2</v>
      </c>
      <c r="E30" s="488">
        <v>2</v>
      </c>
      <c r="F30" s="1360">
        <v>5</v>
      </c>
      <c r="G30" s="45">
        <f>SUM(C30:F30)</f>
        <v>13</v>
      </c>
    </row>
    <row r="31" spans="2:7" ht="15" thickBot="1">
      <c r="B31" s="183">
        <v>2028</v>
      </c>
      <c r="C31" s="489">
        <v>6</v>
      </c>
      <c r="D31" s="489">
        <v>3</v>
      </c>
      <c r="E31" s="489">
        <v>3</v>
      </c>
      <c r="F31" s="1367">
        <v>5</v>
      </c>
      <c r="G31" s="834">
        <f>SUM(C31:F31)</f>
        <v>17</v>
      </c>
    </row>
    <row r="55" ht="43.15" customHeight="1"/>
  </sheetData>
  <mergeCells count="3">
    <mergeCell ref="G25:G26"/>
    <mergeCell ref="B25:B26"/>
    <mergeCell ref="C25:E25"/>
  </mergeCells>
  <hyperlinks>
    <hyperlink ref="C2" location="Indice!A1" display="INDICE" xr:uid="{00000000-0004-0000-1200-000000000000}"/>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B2:D76"/>
  <sheetViews>
    <sheetView showGridLines="0" zoomScale="70" zoomScaleNormal="70" workbookViewId="0">
      <selection activeCell="D2" sqref="D2"/>
    </sheetView>
  </sheetViews>
  <sheetFormatPr defaultColWidth="11.5703125" defaultRowHeight="14.45"/>
  <cols>
    <col min="1" max="1" width="4.28515625" customWidth="1"/>
    <col min="2" max="2" width="10.28515625" customWidth="1"/>
    <col min="3" max="3" width="11.7109375" customWidth="1"/>
    <col min="4" max="4" width="18.5703125" customWidth="1"/>
  </cols>
  <sheetData>
    <row r="2" spans="2:4">
      <c r="B2" s="1384" t="s">
        <v>48</v>
      </c>
      <c r="C2" s="1384"/>
      <c r="D2" s="337" t="s">
        <v>49</v>
      </c>
    </row>
    <row r="3" spans="2:4" ht="15" thickBot="1"/>
    <row r="4" spans="2:4" ht="34.15" customHeight="1">
      <c r="B4" s="85" t="s">
        <v>50</v>
      </c>
      <c r="C4" s="86" t="s">
        <v>51</v>
      </c>
      <c r="D4" s="1363" t="s">
        <v>52</v>
      </c>
    </row>
    <row r="5" spans="2:4">
      <c r="B5" s="1385">
        <v>2018</v>
      </c>
      <c r="C5" s="1" t="s">
        <v>53</v>
      </c>
      <c r="D5" s="4">
        <v>23776</v>
      </c>
    </row>
    <row r="6" spans="2:4">
      <c r="B6" s="1382"/>
      <c r="C6" s="1" t="s">
        <v>54</v>
      </c>
      <c r="D6" s="4">
        <v>24043</v>
      </c>
    </row>
    <row r="7" spans="2:4">
      <c r="B7" s="1382"/>
      <c r="C7" s="1" t="s">
        <v>55</v>
      </c>
      <c r="D7" s="4">
        <v>24385</v>
      </c>
    </row>
    <row r="8" spans="2:4">
      <c r="B8" s="1382"/>
      <c r="C8" s="1" t="s">
        <v>56</v>
      </c>
      <c r="D8" s="4">
        <v>24691</v>
      </c>
    </row>
    <row r="9" spans="2:4">
      <c r="B9" s="1382"/>
      <c r="C9" s="1" t="s">
        <v>57</v>
      </c>
      <c r="D9" s="4">
        <v>19072</v>
      </c>
    </row>
    <row r="10" spans="2:4">
      <c r="B10" s="1382"/>
      <c r="C10" s="1" t="s">
        <v>58</v>
      </c>
      <c r="D10" s="4">
        <v>19969</v>
      </c>
    </row>
    <row r="11" spans="2:4">
      <c r="B11" s="1382"/>
      <c r="C11" s="1" t="s">
        <v>59</v>
      </c>
      <c r="D11" s="4">
        <v>20679</v>
      </c>
    </row>
    <row r="12" spans="2:4">
      <c r="B12" s="1382"/>
      <c r="C12" s="1" t="s">
        <v>60</v>
      </c>
      <c r="D12" s="4">
        <v>21330</v>
      </c>
    </row>
    <row r="13" spans="2:4">
      <c r="B13" s="1382"/>
      <c r="C13" s="1" t="s">
        <v>61</v>
      </c>
      <c r="D13" s="4">
        <v>21831</v>
      </c>
    </row>
    <row r="14" spans="2:4">
      <c r="B14" s="1382"/>
      <c r="C14" s="1" t="s">
        <v>62</v>
      </c>
      <c r="D14" s="4">
        <v>22413</v>
      </c>
    </row>
    <row r="15" spans="2:4">
      <c r="B15" s="1382"/>
      <c r="C15" s="1" t="s">
        <v>63</v>
      </c>
      <c r="D15" s="4">
        <v>22841</v>
      </c>
    </row>
    <row r="16" spans="2:4" ht="15" thickBot="1">
      <c r="B16" s="1383"/>
      <c r="C16" s="2" t="s">
        <v>64</v>
      </c>
      <c r="D16" s="5">
        <v>23187</v>
      </c>
    </row>
    <row r="17" spans="2:4">
      <c r="B17" s="1381">
        <v>2019</v>
      </c>
      <c r="C17" s="11" t="s">
        <v>53</v>
      </c>
      <c r="D17" s="22">
        <v>23533</v>
      </c>
    </row>
    <row r="18" spans="2:4">
      <c r="B18" s="1382"/>
      <c r="C18" s="1" t="s">
        <v>54</v>
      </c>
      <c r="D18" s="4">
        <v>23778</v>
      </c>
    </row>
    <row r="19" spans="2:4">
      <c r="B19" s="1382"/>
      <c r="C19" s="1" t="s">
        <v>55</v>
      </c>
      <c r="D19" s="4">
        <v>24084</v>
      </c>
    </row>
    <row r="20" spans="2:4">
      <c r="B20" s="1382"/>
      <c r="C20" s="1" t="s">
        <v>56</v>
      </c>
      <c r="D20" s="4">
        <v>24292</v>
      </c>
    </row>
    <row r="21" spans="2:4">
      <c r="B21" s="1382"/>
      <c r="C21" s="1" t="s">
        <v>57</v>
      </c>
      <c r="D21" s="4">
        <v>19332</v>
      </c>
    </row>
    <row r="22" spans="2:4">
      <c r="B22" s="1382"/>
      <c r="C22" s="1" t="s">
        <v>58</v>
      </c>
      <c r="D22" s="4">
        <v>20075</v>
      </c>
    </row>
    <row r="23" spans="2:4">
      <c r="B23" s="1382"/>
      <c r="C23" s="1" t="s">
        <v>59</v>
      </c>
      <c r="D23" s="4">
        <v>20665</v>
      </c>
    </row>
    <row r="24" spans="2:4">
      <c r="B24" s="1382"/>
      <c r="C24" s="1" t="s">
        <v>60</v>
      </c>
      <c r="D24" s="4">
        <v>21265</v>
      </c>
    </row>
    <row r="25" spans="2:4">
      <c r="B25" s="1382"/>
      <c r="C25" s="1" t="s">
        <v>61</v>
      </c>
      <c r="D25" s="4">
        <v>21722</v>
      </c>
    </row>
    <row r="26" spans="2:4">
      <c r="B26" s="1382"/>
      <c r="C26" s="1" t="s">
        <v>62</v>
      </c>
      <c r="D26" s="4">
        <v>22228</v>
      </c>
    </row>
    <row r="27" spans="2:4">
      <c r="B27" s="1382"/>
      <c r="C27" s="1" t="s">
        <v>63</v>
      </c>
      <c r="D27" s="4">
        <v>22583</v>
      </c>
    </row>
    <row r="28" spans="2:4" ht="15" thickBot="1">
      <c r="B28" s="1383"/>
      <c r="C28" s="2" t="s">
        <v>64</v>
      </c>
      <c r="D28" s="5">
        <v>22832</v>
      </c>
    </row>
    <row r="29" spans="2:4">
      <c r="B29" s="1381">
        <v>2020</v>
      </c>
      <c r="C29" s="11" t="s">
        <v>53</v>
      </c>
      <c r="D29" s="22">
        <v>23109</v>
      </c>
    </row>
    <row r="30" spans="2:4">
      <c r="B30" s="1382"/>
      <c r="C30" s="1" t="s">
        <v>54</v>
      </c>
      <c r="D30" s="4">
        <v>23275</v>
      </c>
    </row>
    <row r="31" spans="2:4">
      <c r="B31" s="1382"/>
      <c r="C31" s="1" t="s">
        <v>55</v>
      </c>
      <c r="D31" s="4">
        <v>23408</v>
      </c>
    </row>
    <row r="32" spans="2:4">
      <c r="B32" s="1382"/>
      <c r="C32" s="1" t="s">
        <v>56</v>
      </c>
      <c r="D32" s="4">
        <v>23401</v>
      </c>
    </row>
    <row r="33" spans="2:4">
      <c r="B33" s="1382"/>
      <c r="C33" s="1" t="s">
        <v>57</v>
      </c>
      <c r="D33" s="4">
        <v>13952</v>
      </c>
    </row>
    <row r="34" spans="2:4">
      <c r="B34" s="1382"/>
      <c r="C34" s="1" t="s">
        <v>58</v>
      </c>
      <c r="D34" s="4">
        <v>15930</v>
      </c>
    </row>
    <row r="35" spans="2:4">
      <c r="B35" s="1382"/>
      <c r="C35" s="1" t="s">
        <v>59</v>
      </c>
      <c r="D35" s="4">
        <v>16776</v>
      </c>
    </row>
    <row r="36" spans="2:4">
      <c r="B36" s="1382"/>
      <c r="C36" s="1" t="s">
        <v>60</v>
      </c>
      <c r="D36" s="4">
        <v>17391</v>
      </c>
    </row>
    <row r="37" spans="2:4">
      <c r="B37" s="1382"/>
      <c r="C37" s="1" t="s">
        <v>61</v>
      </c>
      <c r="D37" s="4">
        <v>17985</v>
      </c>
    </row>
    <row r="38" spans="2:4">
      <c r="B38" s="1382"/>
      <c r="C38" s="1" t="s">
        <v>62</v>
      </c>
      <c r="D38" s="4">
        <v>18518</v>
      </c>
    </row>
    <row r="39" spans="2:4">
      <c r="B39" s="1382"/>
      <c r="C39" s="1" t="s">
        <v>63</v>
      </c>
      <c r="D39" s="4">
        <v>18978</v>
      </c>
    </row>
    <row r="40" spans="2:4" ht="15" thickBot="1">
      <c r="B40" s="1383"/>
      <c r="C40" s="2" t="s">
        <v>64</v>
      </c>
      <c r="D40" s="5">
        <v>19308</v>
      </c>
    </row>
    <row r="41" spans="2:4">
      <c r="B41" s="1381">
        <v>2021</v>
      </c>
      <c r="C41" s="11" t="s">
        <v>53</v>
      </c>
      <c r="D41" s="22">
        <v>19632</v>
      </c>
    </row>
    <row r="42" spans="2:4">
      <c r="B42" s="1382"/>
      <c r="C42" s="1" t="s">
        <v>54</v>
      </c>
      <c r="D42" s="4">
        <v>19945</v>
      </c>
    </row>
    <row r="43" spans="2:4">
      <c r="B43" s="1382"/>
      <c r="C43" s="1" t="s">
        <v>55</v>
      </c>
      <c r="D43" s="4">
        <v>20514</v>
      </c>
    </row>
    <row r="44" spans="2:4">
      <c r="B44" s="1382"/>
      <c r="C44" s="1" t="s">
        <v>56</v>
      </c>
      <c r="D44" s="4">
        <v>20843</v>
      </c>
    </row>
    <row r="45" spans="2:4">
      <c r="B45" s="1382"/>
      <c r="C45" s="1" t="s">
        <v>57</v>
      </c>
      <c r="D45" s="4">
        <v>17149</v>
      </c>
    </row>
    <row r="46" spans="2:4">
      <c r="B46" s="1382"/>
      <c r="C46" s="1" t="s">
        <v>58</v>
      </c>
      <c r="D46" s="4">
        <v>17883</v>
      </c>
    </row>
    <row r="47" spans="2:4">
      <c r="B47" s="1382"/>
      <c r="C47" s="1" t="s">
        <v>59</v>
      </c>
      <c r="D47" s="4">
        <v>18450</v>
      </c>
    </row>
    <row r="48" spans="2:4">
      <c r="B48" s="1382"/>
      <c r="C48" s="1" t="s">
        <v>60</v>
      </c>
      <c r="D48" s="4">
        <v>18985</v>
      </c>
    </row>
    <row r="49" spans="2:4">
      <c r="B49" s="1382"/>
      <c r="C49" s="1" t="s">
        <v>61</v>
      </c>
      <c r="D49" s="4">
        <v>19641</v>
      </c>
    </row>
    <row r="50" spans="2:4">
      <c r="B50" s="1382"/>
      <c r="C50" s="1" t="s">
        <v>62</v>
      </c>
      <c r="D50" s="4">
        <v>20125</v>
      </c>
    </row>
    <row r="51" spans="2:4">
      <c r="B51" s="1382"/>
      <c r="C51" s="1" t="s">
        <v>63</v>
      </c>
      <c r="D51" s="4">
        <v>20580</v>
      </c>
    </row>
    <row r="52" spans="2:4" ht="15" thickBot="1">
      <c r="B52" s="1383"/>
      <c r="C52" s="2" t="s">
        <v>64</v>
      </c>
      <c r="D52" s="5">
        <v>20840</v>
      </c>
    </row>
    <row r="53" spans="2:4">
      <c r="B53" s="1381">
        <v>2022</v>
      </c>
      <c r="C53" s="9" t="s">
        <v>53</v>
      </c>
      <c r="D53" s="45">
        <v>21105</v>
      </c>
    </row>
    <row r="54" spans="2:4">
      <c r="B54" s="1382"/>
      <c r="C54" s="1" t="s">
        <v>54</v>
      </c>
      <c r="D54" s="4">
        <v>21335</v>
      </c>
    </row>
    <row r="55" spans="2:4">
      <c r="B55" s="1382"/>
      <c r="C55" s="1" t="s">
        <v>55</v>
      </c>
      <c r="D55" s="4">
        <v>21592</v>
      </c>
    </row>
    <row r="56" spans="2:4">
      <c r="B56" s="1382"/>
      <c r="C56" s="1" t="s">
        <v>56</v>
      </c>
      <c r="D56" s="4">
        <v>21849</v>
      </c>
    </row>
    <row r="57" spans="2:4">
      <c r="B57" s="1382"/>
      <c r="C57" s="1" t="s">
        <v>57</v>
      </c>
      <c r="D57" s="4">
        <v>17574</v>
      </c>
    </row>
    <row r="58" spans="2:4">
      <c r="B58" s="1382"/>
      <c r="C58" s="1" t="s">
        <v>58</v>
      </c>
      <c r="D58" s="4">
        <v>18398</v>
      </c>
    </row>
    <row r="59" spans="2:4">
      <c r="B59" s="1382"/>
      <c r="C59" s="1" t="s">
        <v>59</v>
      </c>
      <c r="D59" s="4">
        <v>19007</v>
      </c>
    </row>
    <row r="60" spans="2:4">
      <c r="B60" s="1382"/>
      <c r="C60" s="1" t="s">
        <v>60</v>
      </c>
      <c r="D60" s="4">
        <v>19575</v>
      </c>
    </row>
    <row r="61" spans="2:4">
      <c r="B61" s="1382"/>
      <c r="C61" s="1" t="s">
        <v>61</v>
      </c>
      <c r="D61" s="4">
        <v>20097</v>
      </c>
    </row>
    <row r="62" spans="2:4">
      <c r="B62" s="1382"/>
      <c r="C62" s="1" t="s">
        <v>62</v>
      </c>
      <c r="D62" s="4">
        <v>20519</v>
      </c>
    </row>
    <row r="63" spans="2:4">
      <c r="B63" s="1382"/>
      <c r="C63" s="1" t="s">
        <v>63</v>
      </c>
      <c r="D63" s="4">
        <v>20923</v>
      </c>
    </row>
    <row r="64" spans="2:4" ht="15" thickBot="1">
      <c r="B64" s="1383"/>
      <c r="C64" s="2" t="s">
        <v>64</v>
      </c>
      <c r="D64" s="5">
        <v>21109</v>
      </c>
    </row>
    <row r="65" spans="2:4">
      <c r="B65" s="1381">
        <v>2023</v>
      </c>
      <c r="C65" s="9" t="s">
        <v>53</v>
      </c>
      <c r="D65" s="45">
        <v>21458</v>
      </c>
    </row>
    <row r="66" spans="2:4">
      <c r="B66" s="1382"/>
      <c r="C66" s="1" t="s">
        <v>54</v>
      </c>
      <c r="D66" s="4">
        <v>21658</v>
      </c>
    </row>
    <row r="67" spans="2:4">
      <c r="B67" s="1382"/>
      <c r="C67" s="1" t="s">
        <v>55</v>
      </c>
      <c r="D67" s="4">
        <v>22081</v>
      </c>
    </row>
    <row r="68" spans="2:4">
      <c r="B68" s="1382"/>
      <c r="C68" s="1" t="s">
        <v>56</v>
      </c>
      <c r="D68" s="4">
        <v>22238</v>
      </c>
    </row>
    <row r="69" spans="2:4">
      <c r="B69" s="1382"/>
      <c r="C69" s="1" t="s">
        <v>57</v>
      </c>
      <c r="D69" s="4">
        <v>18232</v>
      </c>
    </row>
    <row r="70" spans="2:4">
      <c r="B70" s="1382"/>
      <c r="C70" s="1" t="s">
        <v>58</v>
      </c>
      <c r="D70" s="4">
        <v>18896</v>
      </c>
    </row>
    <row r="71" spans="2:4">
      <c r="B71" s="1382"/>
      <c r="C71" s="1" t="s">
        <v>59</v>
      </c>
      <c r="D71" s="4">
        <v>19456</v>
      </c>
    </row>
    <row r="72" spans="2:4">
      <c r="B72" s="1382"/>
      <c r="C72" s="1" t="s">
        <v>60</v>
      </c>
      <c r="D72" s="4">
        <v>19986</v>
      </c>
    </row>
    <row r="73" spans="2:4">
      <c r="B73" s="1382"/>
      <c r="C73" s="1" t="s">
        <v>61</v>
      </c>
      <c r="D73" s="4">
        <v>20405</v>
      </c>
    </row>
    <row r="74" spans="2:4">
      <c r="B74" s="1382"/>
      <c r="C74" s="1" t="s">
        <v>62</v>
      </c>
      <c r="D74" s="4">
        <v>20768</v>
      </c>
    </row>
    <row r="75" spans="2:4">
      <c r="B75" s="1382"/>
      <c r="C75" s="1" t="s">
        <v>63</v>
      </c>
      <c r="D75" s="4">
        <v>21006</v>
      </c>
    </row>
    <row r="76" spans="2:4" ht="15" thickBot="1">
      <c r="B76" s="1383"/>
      <c r="C76" s="2" t="s">
        <v>64</v>
      </c>
      <c r="D76" s="5">
        <v>21172</v>
      </c>
    </row>
  </sheetData>
  <mergeCells count="7">
    <mergeCell ref="B65:B76"/>
    <mergeCell ref="B53:B64"/>
    <mergeCell ref="B2:C2"/>
    <mergeCell ref="B5:B16"/>
    <mergeCell ref="B17:B28"/>
    <mergeCell ref="B29:B40"/>
    <mergeCell ref="B41:B52"/>
  </mergeCells>
  <hyperlinks>
    <hyperlink ref="D2" location="Indice!A1" display="INDICE" xr:uid="{00000000-0004-0000-0100-000000000000}"/>
  </hyperlink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92D050"/>
  </sheetPr>
  <dimension ref="A2:N956"/>
  <sheetViews>
    <sheetView showGridLines="0" zoomScale="85" zoomScaleNormal="85" workbookViewId="0">
      <selection activeCell="J20" sqref="J20"/>
    </sheetView>
  </sheetViews>
  <sheetFormatPr defaultColWidth="14.28515625" defaultRowHeight="15" customHeight="1"/>
  <cols>
    <col min="1" max="1" width="6.28515625" customWidth="1"/>
    <col min="2" max="2" width="29.140625" customWidth="1"/>
    <col min="3" max="3" width="20.5703125" customWidth="1"/>
    <col min="4" max="4" width="18.5703125" bestFit="1" customWidth="1"/>
    <col min="5" max="5" width="19" customWidth="1"/>
    <col min="6" max="6" width="15.28515625" customWidth="1"/>
    <col min="7" max="7" width="12.5703125" customWidth="1"/>
    <col min="8" max="8" width="17.85546875" customWidth="1"/>
    <col min="9" max="9" width="16" customWidth="1"/>
    <col min="10" max="11" width="16.7109375" customWidth="1"/>
    <col min="12" max="13" width="10.7109375" customWidth="1"/>
    <col min="14" max="14" width="17.42578125" customWidth="1"/>
    <col min="15" max="24" width="10.7109375" customWidth="1"/>
  </cols>
  <sheetData>
    <row r="2" spans="1:12" ht="15" customHeight="1">
      <c r="B2" s="1305" t="s">
        <v>126</v>
      </c>
      <c r="C2" s="337" t="s">
        <v>49</v>
      </c>
    </row>
    <row r="3" spans="1:12" ht="15" customHeight="1" thickBot="1"/>
    <row r="4" spans="1:12" ht="19.899999999999999" customHeight="1" thickBot="1">
      <c r="B4" s="1622" t="s">
        <v>104</v>
      </c>
      <c r="C4" s="1483"/>
      <c r="D4" s="1623"/>
      <c r="K4" s="797" t="s">
        <v>166</v>
      </c>
      <c r="L4" s="21">
        <v>1002.5</v>
      </c>
    </row>
    <row r="5" spans="1:12" ht="15" customHeight="1" thickBot="1">
      <c r="B5" s="202" t="s">
        <v>714</v>
      </c>
      <c r="C5" s="203">
        <v>2.5</v>
      </c>
      <c r="D5" s="204" t="s">
        <v>137</v>
      </c>
      <c r="K5" s="798" t="s">
        <v>167</v>
      </c>
      <c r="L5" s="810">
        <v>2.1999999999999999E-2</v>
      </c>
    </row>
    <row r="6" spans="1:12" ht="15" customHeight="1">
      <c r="B6" s="197" t="s">
        <v>715</v>
      </c>
      <c r="C6" s="195">
        <v>0.75</v>
      </c>
      <c r="D6" s="198" t="s">
        <v>139</v>
      </c>
    </row>
    <row r="7" spans="1:12" ht="15" customHeight="1">
      <c r="B7" s="197" t="s">
        <v>716</v>
      </c>
      <c r="C7" s="196">
        <v>0.23</v>
      </c>
      <c r="D7" s="198" t="s">
        <v>139</v>
      </c>
    </row>
    <row r="8" spans="1:12" ht="15" customHeight="1">
      <c r="B8" s="197" t="s">
        <v>717</v>
      </c>
      <c r="C8" s="195">
        <v>0.02</v>
      </c>
      <c r="D8" s="198" t="s">
        <v>139</v>
      </c>
    </row>
    <row r="9" spans="1:12" ht="15" customHeight="1" thickBot="1">
      <c r="B9" s="199" t="s">
        <v>718</v>
      </c>
      <c r="C9" s="200">
        <v>250</v>
      </c>
      <c r="D9" s="201" t="s">
        <v>110</v>
      </c>
    </row>
    <row r="10" spans="1:12" thickBot="1">
      <c r="A10" s="121"/>
      <c r="B10" s="134"/>
      <c r="C10" s="134"/>
      <c r="D10" s="134"/>
      <c r="E10" s="134"/>
      <c r="F10" s="134"/>
      <c r="G10" s="134"/>
      <c r="H10" s="134"/>
    </row>
    <row r="11" spans="1:12" ht="19.899999999999999" customHeight="1" thickBot="1">
      <c r="A11" s="134"/>
      <c r="B11" s="1625" t="s">
        <v>719</v>
      </c>
      <c r="C11" s="1626"/>
      <c r="D11" s="1626"/>
      <c r="E11" s="1626"/>
      <c r="F11" s="1626"/>
      <c r="G11" s="1626"/>
      <c r="H11" s="1627"/>
    </row>
    <row r="12" spans="1:12" ht="30" customHeight="1">
      <c r="A12" s="122"/>
      <c r="B12" s="608" t="s">
        <v>720</v>
      </c>
      <c r="C12" s="609" t="s">
        <v>721</v>
      </c>
      <c r="D12" s="609" t="s">
        <v>722</v>
      </c>
      <c r="E12" s="609" t="s">
        <v>723</v>
      </c>
      <c r="F12" s="609" t="s">
        <v>724</v>
      </c>
      <c r="G12" s="609" t="s">
        <v>725</v>
      </c>
      <c r="H12" s="610" t="s">
        <v>726</v>
      </c>
    </row>
    <row r="13" spans="1:12" ht="14.45">
      <c r="A13" s="189"/>
      <c r="B13" s="205" t="s">
        <v>727</v>
      </c>
      <c r="C13" s="186">
        <f>+$C$5*C6</f>
        <v>1.875</v>
      </c>
      <c r="D13" s="190">
        <v>0.02</v>
      </c>
      <c r="E13" s="186">
        <f>C13+C13*D13</f>
        <v>1.9125000000000001</v>
      </c>
      <c r="F13" s="191">
        <v>1950</v>
      </c>
      <c r="G13" s="725">
        <f>F13*E13</f>
        <v>3729.375</v>
      </c>
      <c r="H13" s="235">
        <f>G13/$L$4</f>
        <v>3.7200748129675811</v>
      </c>
    </row>
    <row r="14" spans="1:12" ht="14.45">
      <c r="A14" s="189"/>
      <c r="B14" s="205" t="s">
        <v>716</v>
      </c>
      <c r="C14" s="186">
        <f>+$C$5*C7</f>
        <v>0.57500000000000007</v>
      </c>
      <c r="D14" s="190">
        <v>0.02</v>
      </c>
      <c r="E14" s="186">
        <f>C14+C14*D14</f>
        <v>0.58650000000000002</v>
      </c>
      <c r="F14" s="191">
        <v>2100</v>
      </c>
      <c r="G14" s="725">
        <f>+F14*C14</f>
        <v>1207.5000000000002</v>
      </c>
      <c r="H14" s="235">
        <f>G14/$L$4</f>
        <v>1.204488778054863</v>
      </c>
    </row>
    <row r="15" spans="1:12" thickBot="1">
      <c r="A15" s="189"/>
      <c r="B15" s="207" t="s">
        <v>717</v>
      </c>
      <c r="C15" s="208">
        <f>+$C$5*C8</f>
        <v>0.05</v>
      </c>
      <c r="D15" s="799">
        <v>0.02</v>
      </c>
      <c r="E15" s="800">
        <f>C15+C15*D15</f>
        <v>5.1000000000000004E-2</v>
      </c>
      <c r="F15" s="801">
        <v>4950</v>
      </c>
      <c r="G15" s="738">
        <f>+F15*C15</f>
        <v>247.5</v>
      </c>
      <c r="H15" s="802">
        <f>G15/$L$4</f>
        <v>0.24688279301745636</v>
      </c>
    </row>
    <row r="16" spans="1:12" thickBot="1">
      <c r="A16" s="134"/>
      <c r="B16" s="1624"/>
      <c r="C16" s="1624"/>
      <c r="D16" s="1446" t="s">
        <v>728</v>
      </c>
      <c r="E16" s="1447"/>
      <c r="F16" s="1447"/>
      <c r="G16" s="803">
        <f>SUM(G13:G15)</f>
        <v>5184.375</v>
      </c>
      <c r="H16" s="726">
        <f>SUM(H13:H15)</f>
        <v>5.1714463840399008</v>
      </c>
    </row>
    <row r="17" spans="1:10" ht="16.149999999999999" customHeight="1" thickBot="1">
      <c r="A17" s="134"/>
      <c r="B17" s="134"/>
      <c r="C17" s="134"/>
      <c r="D17" s="134"/>
      <c r="E17" s="134"/>
      <c r="F17" s="134"/>
      <c r="G17" s="134"/>
      <c r="H17" s="134"/>
    </row>
    <row r="18" spans="1:10" ht="19.899999999999999" customHeight="1" thickBot="1">
      <c r="A18" s="134"/>
      <c r="B18" s="1625" t="s">
        <v>729</v>
      </c>
      <c r="C18" s="1626"/>
      <c r="D18" s="1626"/>
      <c r="E18" s="1626"/>
      <c r="F18" s="1626"/>
      <c r="G18" s="1627"/>
      <c r="H18" s="134"/>
    </row>
    <row r="19" spans="1:10" ht="33" customHeight="1" thickBot="1">
      <c r="A19" s="134"/>
      <c r="B19" s="736" t="s">
        <v>720</v>
      </c>
      <c r="C19" s="737" t="s">
        <v>723</v>
      </c>
      <c r="D19" s="773" t="s">
        <v>724</v>
      </c>
      <c r="E19" s="737" t="s">
        <v>129</v>
      </c>
      <c r="F19" s="737" t="s">
        <v>725</v>
      </c>
      <c r="G19" s="807" t="s">
        <v>726</v>
      </c>
      <c r="H19" s="134"/>
    </row>
    <row r="20" spans="1:10" ht="15.75" customHeight="1">
      <c r="A20" s="134"/>
      <c r="B20" s="804" t="s">
        <v>730</v>
      </c>
      <c r="C20" s="805">
        <f>B31/C9</f>
        <v>4.0000000000000001E-3</v>
      </c>
      <c r="D20" s="806">
        <v>7950</v>
      </c>
      <c r="E20" s="805" t="s">
        <v>523</v>
      </c>
      <c r="F20" s="806">
        <f>+C20*D20</f>
        <v>31.8</v>
      </c>
      <c r="G20" s="814">
        <f>F20/$L$4</f>
        <v>3.1720698254364091E-2</v>
      </c>
      <c r="H20" s="134"/>
    </row>
    <row r="21" spans="1:10" ht="15.75" customHeight="1">
      <c r="A21" s="134"/>
      <c r="B21" s="209" t="s">
        <v>731</v>
      </c>
      <c r="C21" s="186">
        <f>B32/C9</f>
        <v>4.0000000000000001E-3</v>
      </c>
      <c r="D21" s="191">
        <f>I32/J32</f>
        <v>1266.2</v>
      </c>
      <c r="E21" s="186" t="s">
        <v>523</v>
      </c>
      <c r="F21" s="191">
        <f>+C21*D21</f>
        <v>5.0648</v>
      </c>
      <c r="G21" s="814">
        <f>F21/$L$4</f>
        <v>5.0521695760598504E-3</v>
      </c>
      <c r="H21" s="134"/>
    </row>
    <row r="22" spans="1:10" ht="14.45">
      <c r="A22" s="134"/>
      <c r="B22" s="209" t="s">
        <v>732</v>
      </c>
      <c r="C22" s="186">
        <f>B33/C9</f>
        <v>9.1999999999999998E-2</v>
      </c>
      <c r="D22" s="191">
        <f>I33/J33</f>
        <v>26.987500000000001</v>
      </c>
      <c r="E22" s="186" t="s">
        <v>733</v>
      </c>
      <c r="F22" s="191">
        <f>+C22*D22</f>
        <v>2.48285</v>
      </c>
      <c r="G22" s="814">
        <f>F22/$L$4</f>
        <v>2.4766583541147133E-3</v>
      </c>
      <c r="H22" s="134"/>
    </row>
    <row r="23" spans="1:10" ht="14.45">
      <c r="A23" s="134"/>
      <c r="B23" s="209" t="s">
        <v>734</v>
      </c>
      <c r="C23" s="186">
        <f>B34/C9</f>
        <v>5.1999999999999998E-2</v>
      </c>
      <c r="D23" s="191">
        <f>I34/J34</f>
        <v>24.151034482758622</v>
      </c>
      <c r="E23" s="186" t="s">
        <v>735</v>
      </c>
      <c r="F23" s="191">
        <f>+C23*D23</f>
        <v>1.2558537931034484</v>
      </c>
      <c r="G23" s="814">
        <f>F23/$L$4</f>
        <v>1.2527219881331155E-3</v>
      </c>
      <c r="H23" s="134"/>
    </row>
    <row r="24" spans="1:10" thickBot="1">
      <c r="A24" s="134"/>
      <c r="B24" s="210" t="s">
        <v>736</v>
      </c>
      <c r="C24" s="800">
        <v>1.6E-2</v>
      </c>
      <c r="D24" s="801">
        <f>I35/J35</f>
        <v>496</v>
      </c>
      <c r="E24" s="800" t="s">
        <v>523</v>
      </c>
      <c r="F24" s="801">
        <f>+C24*D24</f>
        <v>7.9359999999999999</v>
      </c>
      <c r="G24" s="814">
        <f>F24/$L$4</f>
        <v>7.9162094763092269E-3</v>
      </c>
      <c r="H24" s="134"/>
    </row>
    <row r="25" spans="1:10" thickBot="1">
      <c r="A25" s="134"/>
      <c r="B25" s="134"/>
      <c r="C25" s="1446" t="s">
        <v>737</v>
      </c>
      <c r="D25" s="1447"/>
      <c r="E25" s="1447"/>
      <c r="F25" s="808">
        <f>SUM(F20:F24)</f>
        <v>48.539503793103449</v>
      </c>
      <c r="G25" s="815">
        <f>SUM(G20:G24)</f>
        <v>4.8418457648980999E-2</v>
      </c>
      <c r="H25" s="134"/>
    </row>
    <row r="26" spans="1:10" ht="15.75" customHeight="1" thickBot="1">
      <c r="A26" s="134"/>
      <c r="B26" s="134"/>
      <c r="C26" s="134"/>
      <c r="D26" s="134"/>
      <c r="E26" s="134"/>
      <c r="F26" s="134"/>
      <c r="G26" s="134"/>
      <c r="H26" s="134"/>
    </row>
    <row r="27" spans="1:10" ht="15.75" customHeight="1" thickBot="1">
      <c r="A27" s="134"/>
      <c r="B27" s="134"/>
      <c r="C27" s="1446" t="s">
        <v>738</v>
      </c>
      <c r="D27" s="1447"/>
      <c r="E27" s="1447"/>
      <c r="F27" s="809">
        <f>F25+G16</f>
        <v>5232.914503793103</v>
      </c>
      <c r="G27" s="726">
        <f>G25+H16</f>
        <v>5.2198648416888815</v>
      </c>
      <c r="H27" s="134"/>
    </row>
    <row r="28" spans="1:10" ht="15.75" customHeight="1" thickBot="1">
      <c r="A28" s="134"/>
      <c r="B28" s="134"/>
      <c r="C28" s="134"/>
      <c r="D28" s="134"/>
      <c r="E28" s="134"/>
      <c r="F28" s="134"/>
      <c r="G28" s="134"/>
      <c r="H28" s="134"/>
    </row>
    <row r="29" spans="1:10" ht="15.75" customHeight="1" thickBot="1">
      <c r="A29" s="134"/>
      <c r="B29" s="1538" t="s">
        <v>104</v>
      </c>
      <c r="C29" s="1539"/>
      <c r="D29" s="1539"/>
      <c r="E29" s="1539"/>
      <c r="F29" s="1539"/>
      <c r="G29" s="1539"/>
      <c r="H29" s="1539"/>
      <c r="I29" s="1539"/>
      <c r="J29" s="1540"/>
    </row>
    <row r="30" spans="1:10" ht="15.75" customHeight="1" thickBot="1">
      <c r="A30" s="134"/>
      <c r="B30" s="1325" t="s">
        <v>227</v>
      </c>
      <c r="C30" s="1352" t="s">
        <v>327</v>
      </c>
      <c r="D30" s="1352" t="s">
        <v>739</v>
      </c>
      <c r="E30" s="1617" t="s">
        <v>177</v>
      </c>
      <c r="F30" s="1617"/>
      <c r="G30" s="1617"/>
      <c r="H30" s="1617"/>
      <c r="I30" s="1352" t="s">
        <v>740</v>
      </c>
      <c r="J30" s="1348" t="s">
        <v>741</v>
      </c>
    </row>
    <row r="31" spans="1:10" ht="15.75" customHeight="1">
      <c r="A31" s="134"/>
      <c r="B31" s="793">
        <v>1</v>
      </c>
      <c r="C31" s="206" t="s">
        <v>655</v>
      </c>
      <c r="D31" s="1358" t="s">
        <v>110</v>
      </c>
      <c r="E31" s="1618" t="s">
        <v>742</v>
      </c>
      <c r="F31" s="1618"/>
      <c r="G31" s="1618"/>
      <c r="H31" s="1618"/>
      <c r="I31" s="794">
        <v>7950</v>
      </c>
      <c r="J31" s="22">
        <v>1</v>
      </c>
    </row>
    <row r="32" spans="1:10" ht="15.75" customHeight="1">
      <c r="A32" s="134"/>
      <c r="B32" s="213">
        <v>1</v>
      </c>
      <c r="C32" s="186" t="s">
        <v>743</v>
      </c>
      <c r="D32" s="1360" t="s">
        <v>110</v>
      </c>
      <c r="E32" s="1619" t="s">
        <v>744</v>
      </c>
      <c r="F32" s="1619"/>
      <c r="G32" s="1619"/>
      <c r="H32" s="1619"/>
      <c r="I32" s="212">
        <v>12662</v>
      </c>
      <c r="J32" s="4">
        <v>10</v>
      </c>
    </row>
    <row r="33" spans="1:14" ht="15.75" customHeight="1">
      <c r="A33" s="134"/>
      <c r="B33" s="213">
        <v>23</v>
      </c>
      <c r="C33" s="186" t="s">
        <v>651</v>
      </c>
      <c r="D33" s="1360" t="s">
        <v>745</v>
      </c>
      <c r="E33" s="1620" t="s">
        <v>746</v>
      </c>
      <c r="F33" s="1620"/>
      <c r="G33" s="1620"/>
      <c r="H33" s="1620"/>
      <c r="I33" s="212">
        <v>6477</v>
      </c>
      <c r="J33" s="4">
        <v>240</v>
      </c>
    </row>
    <row r="34" spans="1:14" ht="15.75" customHeight="1">
      <c r="A34" s="134"/>
      <c r="B34" s="213">
        <v>13</v>
      </c>
      <c r="C34" s="186" t="s">
        <v>747</v>
      </c>
      <c r="D34" s="1360" t="s">
        <v>745</v>
      </c>
      <c r="E34" s="1620" t="s">
        <v>748</v>
      </c>
      <c r="F34" s="1620"/>
      <c r="G34" s="1620"/>
      <c r="H34" s="1620"/>
      <c r="I34" s="212">
        <v>35019</v>
      </c>
      <c r="J34" s="4">
        <v>1450</v>
      </c>
    </row>
    <row r="35" spans="1:14" ht="15.75" customHeight="1" thickBot="1">
      <c r="A35" s="134"/>
      <c r="B35" s="214">
        <v>4</v>
      </c>
      <c r="C35" s="208" t="s">
        <v>749</v>
      </c>
      <c r="D35" s="1367" t="s">
        <v>110</v>
      </c>
      <c r="E35" s="1621" t="s">
        <v>750</v>
      </c>
      <c r="F35" s="1621"/>
      <c r="G35" s="1621"/>
      <c r="H35" s="1621"/>
      <c r="I35" s="215">
        <v>12400</v>
      </c>
      <c r="J35" s="5">
        <v>25</v>
      </c>
    </row>
    <row r="36" spans="1:14" ht="15.75" customHeight="1" thickBot="1">
      <c r="A36" s="134"/>
      <c r="B36" s="134"/>
      <c r="C36" s="134"/>
      <c r="D36" s="134"/>
      <c r="E36" s="134"/>
      <c r="F36" s="134"/>
      <c r="G36" s="134"/>
      <c r="H36" s="134"/>
      <c r="K36" s="123"/>
    </row>
    <row r="37" spans="1:14" ht="15.75" customHeight="1" thickBot="1">
      <c r="A37" s="134"/>
      <c r="B37" s="1333" t="s">
        <v>50</v>
      </c>
      <c r="C37" s="1334" t="s">
        <v>751</v>
      </c>
      <c r="D37" s="1334" t="s">
        <v>123</v>
      </c>
      <c r="E37" s="1335" t="s">
        <v>752</v>
      </c>
      <c r="K37" s="123"/>
    </row>
    <row r="38" spans="1:14" ht="15.75" customHeight="1">
      <c r="A38" s="134"/>
      <c r="B38" s="824">
        <v>2024</v>
      </c>
      <c r="C38" s="825">
        <f>G27</f>
        <v>5.2198648416888815</v>
      </c>
      <c r="D38" s="826">
        <f>'1.5 - Proyeccion demanda'!D112</f>
        <v>28460.279938539581</v>
      </c>
      <c r="E38" s="730">
        <f>D38*C38</f>
        <v>148558.81463580616</v>
      </c>
      <c r="F38" s="194"/>
      <c r="G38" s="194"/>
      <c r="K38" s="123"/>
    </row>
    <row r="39" spans="1:14" ht="15.75" customHeight="1">
      <c r="A39" s="134"/>
      <c r="B39" s="182">
        <v>2025</v>
      </c>
      <c r="C39" s="811">
        <f>C38*(1+L5)</f>
        <v>5.3347018682060368</v>
      </c>
      <c r="D39" s="187">
        <f>'1.5 - Proyeccion demanda'!D113</f>
        <v>119834.76293453228</v>
      </c>
      <c r="E39" s="219">
        <f>D39*C39</f>
        <v>639282.73370287684</v>
      </c>
      <c r="F39" s="194"/>
      <c r="G39" s="194"/>
      <c r="K39" s="123"/>
    </row>
    <row r="40" spans="1:14" ht="15.75" customHeight="1">
      <c r="A40" s="134"/>
      <c r="B40" s="182">
        <v>2026</v>
      </c>
      <c r="C40" s="811">
        <f>C39*(1+L5)</f>
        <v>5.4520653093065699</v>
      </c>
      <c r="D40" s="187">
        <f>'1.5 - Proyeccion demanda'!D114</f>
        <v>189131.4571302851</v>
      </c>
      <c r="E40" s="219">
        <f>D40*C40</f>
        <v>1031157.0563186301</v>
      </c>
      <c r="F40" s="194"/>
      <c r="G40" s="194"/>
    </row>
    <row r="41" spans="1:14" ht="15.75" customHeight="1">
      <c r="A41" s="134"/>
      <c r="B41" s="182">
        <v>2027</v>
      </c>
      <c r="C41" s="811">
        <f>C40*(1+L5)</f>
        <v>5.5720107461113146</v>
      </c>
      <c r="D41" s="187">
        <f>'1.5 - Proyeccion demanda'!D115</f>
        <v>264681.0264783625</v>
      </c>
      <c r="E41" s="219">
        <f>D41*C41</f>
        <v>1474805.5238292094</v>
      </c>
      <c r="F41" s="194"/>
      <c r="G41" s="194"/>
    </row>
    <row r="42" spans="1:14" ht="15.75" customHeight="1" thickBot="1">
      <c r="A42" s="134"/>
      <c r="B42" s="183">
        <v>2028</v>
      </c>
      <c r="C42" s="812">
        <f>C41*(1+L5)</f>
        <v>5.6945949825257633</v>
      </c>
      <c r="D42" s="218">
        <f>'1.5 - Proyeccion demanda'!D116</f>
        <v>346483.47097876424</v>
      </c>
      <c r="E42" s="220">
        <f>D42*C42</f>
        <v>1973083.0353637817</v>
      </c>
      <c r="F42" s="194"/>
      <c r="G42" s="194"/>
    </row>
    <row r="43" spans="1:14" ht="15.75" customHeight="1">
      <c r="A43" s="134"/>
      <c r="B43" s="134"/>
      <c r="C43" s="134"/>
      <c r="D43" s="134"/>
      <c r="E43" s="134"/>
      <c r="F43" s="134"/>
      <c r="G43" s="134"/>
      <c r="H43" s="134"/>
    </row>
    <row r="44" spans="1:14" ht="15.75" customHeight="1">
      <c r="A44" s="134"/>
      <c r="B44" s="134" t="s">
        <v>753</v>
      </c>
      <c r="C44" s="134"/>
      <c r="D44" s="134"/>
      <c r="E44" s="134"/>
      <c r="F44" s="134"/>
      <c r="G44" s="134"/>
      <c r="H44" s="134"/>
    </row>
    <row r="45" spans="1:14" ht="15.75" customHeight="1" thickBot="1">
      <c r="A45" s="134"/>
      <c r="B45" s="134"/>
      <c r="C45" s="134"/>
      <c r="D45" s="134"/>
      <c r="E45" s="134"/>
      <c r="F45" s="134"/>
      <c r="G45" s="134"/>
      <c r="H45" s="134"/>
      <c r="K45" s="1305"/>
    </row>
    <row r="46" spans="1:14" ht="15.75" customHeight="1">
      <c r="A46" s="134"/>
      <c r="B46" s="795" t="s">
        <v>720</v>
      </c>
      <c r="C46" s="1485" t="s">
        <v>170</v>
      </c>
      <c r="D46" s="1486"/>
      <c r="E46" s="1486"/>
      <c r="F46" s="1486"/>
      <c r="G46" s="1486"/>
      <c r="H46" s="1486"/>
      <c r="I46" s="1486"/>
      <c r="J46" s="1486"/>
      <c r="K46" s="1486"/>
      <c r="L46" s="1486"/>
      <c r="M46" s="1486"/>
      <c r="N46" s="1487"/>
    </row>
    <row r="47" spans="1:14" ht="15.75" customHeight="1">
      <c r="A47" s="134"/>
      <c r="B47" s="796" t="s">
        <v>717</v>
      </c>
      <c r="C47" s="1430" t="s">
        <v>754</v>
      </c>
      <c r="D47" s="1631"/>
      <c r="E47" s="1631"/>
      <c r="F47" s="1631"/>
      <c r="G47" s="1631"/>
      <c r="H47" s="1631"/>
      <c r="I47" s="1631"/>
      <c r="J47" s="1631"/>
      <c r="K47" s="1631"/>
      <c r="L47" s="1631"/>
      <c r="M47" s="1631"/>
      <c r="N47" s="1632"/>
    </row>
    <row r="48" spans="1:14" ht="15.75" customHeight="1">
      <c r="A48" s="134"/>
      <c r="B48" s="213" t="s">
        <v>655</v>
      </c>
      <c r="C48" s="1430" t="s">
        <v>755</v>
      </c>
      <c r="D48" s="1631"/>
      <c r="E48" s="1631"/>
      <c r="F48" s="1631"/>
      <c r="G48" s="1631"/>
      <c r="H48" s="1631"/>
      <c r="I48" s="1631"/>
      <c r="J48" s="1631"/>
      <c r="K48" s="1631"/>
      <c r="L48" s="1631"/>
      <c r="M48" s="1631"/>
      <c r="N48" s="1632"/>
    </row>
    <row r="49" spans="1:14" ht="15.75" customHeight="1">
      <c r="A49" s="134"/>
      <c r="B49" s="213" t="s">
        <v>743</v>
      </c>
      <c r="C49" s="1631" t="s">
        <v>756</v>
      </c>
      <c r="D49" s="1631"/>
      <c r="E49" s="1631"/>
      <c r="F49" s="1631"/>
      <c r="G49" s="1631"/>
      <c r="H49" s="1631"/>
      <c r="I49" s="1631"/>
      <c r="J49" s="1631"/>
      <c r="K49" s="1631"/>
      <c r="L49" s="1631"/>
      <c r="M49" s="1631"/>
      <c r="N49" s="1632"/>
    </row>
    <row r="50" spans="1:14" ht="15.75" customHeight="1">
      <c r="A50" s="134"/>
      <c r="B50" s="213" t="s">
        <v>651</v>
      </c>
      <c r="C50" s="1430" t="s">
        <v>757</v>
      </c>
      <c r="D50" s="1631"/>
      <c r="E50" s="1631"/>
      <c r="F50" s="1631"/>
      <c r="G50" s="1631"/>
      <c r="H50" s="1631"/>
      <c r="I50" s="1631"/>
      <c r="J50" s="1631"/>
      <c r="K50" s="1631"/>
      <c r="L50" s="1631"/>
      <c r="M50" s="1631"/>
      <c r="N50" s="1632"/>
    </row>
    <row r="51" spans="1:14" ht="15.75" customHeight="1">
      <c r="A51" s="134"/>
      <c r="B51" s="213" t="s">
        <v>747</v>
      </c>
      <c r="C51" s="1430" t="s">
        <v>758</v>
      </c>
      <c r="D51" s="1631"/>
      <c r="E51" s="1631"/>
      <c r="F51" s="1631"/>
      <c r="G51" s="1631"/>
      <c r="H51" s="1631"/>
      <c r="I51" s="1631"/>
      <c r="J51" s="1631"/>
      <c r="K51" s="1631"/>
      <c r="L51" s="1631"/>
      <c r="M51" s="1631"/>
      <c r="N51" s="1632"/>
    </row>
    <row r="52" spans="1:14" ht="15.75" customHeight="1" thickBot="1">
      <c r="A52" s="134"/>
      <c r="B52" s="214" t="s">
        <v>736</v>
      </c>
      <c r="C52" s="1628" t="s">
        <v>759</v>
      </c>
      <c r="D52" s="1629"/>
      <c r="E52" s="1629"/>
      <c r="F52" s="1629"/>
      <c r="G52" s="1629"/>
      <c r="H52" s="1629"/>
      <c r="I52" s="1629"/>
      <c r="J52" s="1629"/>
      <c r="K52" s="1629"/>
      <c r="L52" s="1629"/>
      <c r="M52" s="1629"/>
      <c r="N52" s="1630"/>
    </row>
    <row r="53" spans="1:14" ht="15.75" customHeight="1">
      <c r="A53" s="134"/>
      <c r="B53" s="134"/>
      <c r="C53" s="134"/>
      <c r="D53" s="134"/>
      <c r="E53" s="134"/>
      <c r="F53" s="134"/>
      <c r="G53" s="134"/>
      <c r="H53" s="134"/>
    </row>
    <row r="54" spans="1:14" ht="15.75" customHeight="1">
      <c r="A54" s="134"/>
      <c r="B54" s="134"/>
      <c r="C54" s="134"/>
      <c r="D54" s="134"/>
      <c r="E54" s="134"/>
      <c r="F54" s="134"/>
      <c r="G54" s="134"/>
      <c r="H54" s="134"/>
    </row>
    <row r="55" spans="1:14" ht="15.75" customHeight="1">
      <c r="A55" s="134"/>
      <c r="B55" s="134"/>
      <c r="C55" s="134"/>
      <c r="D55" s="134"/>
      <c r="E55" s="134"/>
      <c r="F55" s="134"/>
      <c r="G55" s="134"/>
      <c r="H55" s="134"/>
    </row>
    <row r="56" spans="1:14" ht="15.75" customHeight="1">
      <c r="A56" s="134"/>
      <c r="B56" s="134"/>
      <c r="C56" s="134"/>
      <c r="D56" s="134"/>
      <c r="E56" s="134"/>
      <c r="F56" s="134"/>
      <c r="G56" s="134"/>
      <c r="H56" s="134"/>
    </row>
    <row r="57" spans="1:14" ht="15.75" customHeight="1">
      <c r="A57" s="134"/>
      <c r="B57" s="134"/>
      <c r="C57" s="134"/>
      <c r="D57" s="134"/>
      <c r="E57" s="134"/>
      <c r="F57" s="134"/>
      <c r="G57" s="134"/>
      <c r="H57" s="134"/>
    </row>
    <row r="58" spans="1:14" ht="15.75" customHeight="1">
      <c r="A58" s="134"/>
      <c r="B58" s="134"/>
      <c r="C58" s="134"/>
      <c r="D58" s="134"/>
      <c r="E58" s="134"/>
      <c r="F58" s="134"/>
      <c r="G58" s="134"/>
      <c r="H58" s="134"/>
    </row>
    <row r="59" spans="1:14" ht="15.75" customHeight="1">
      <c r="A59" s="134"/>
      <c r="B59" s="134"/>
      <c r="C59" s="134"/>
      <c r="D59" s="134"/>
      <c r="E59" s="134"/>
      <c r="F59" s="134"/>
      <c r="G59" s="134"/>
      <c r="H59" s="134"/>
    </row>
    <row r="60" spans="1:14" ht="15.75" customHeight="1">
      <c r="A60" s="134"/>
      <c r="B60" s="134"/>
      <c r="C60" s="134"/>
      <c r="D60" s="134"/>
      <c r="E60" s="134"/>
      <c r="F60" s="134"/>
      <c r="G60" s="134"/>
      <c r="H60" s="134"/>
    </row>
    <row r="61" spans="1:14" ht="15.75" customHeight="1">
      <c r="A61" s="134"/>
      <c r="B61" s="134"/>
      <c r="C61" s="134"/>
      <c r="D61" s="134"/>
      <c r="E61" s="134"/>
      <c r="F61" s="134"/>
      <c r="G61" s="134"/>
      <c r="H61" s="134"/>
    </row>
    <row r="62" spans="1:14" ht="15.75" customHeight="1">
      <c r="A62" s="134"/>
      <c r="B62" s="134"/>
      <c r="C62" s="134"/>
      <c r="D62" s="134"/>
      <c r="E62" s="134"/>
      <c r="F62" s="134"/>
      <c r="G62" s="134"/>
      <c r="H62" s="134"/>
    </row>
    <row r="63" spans="1:14" ht="15.75" customHeight="1">
      <c r="A63" s="134"/>
      <c r="B63" s="134"/>
      <c r="C63" s="134"/>
      <c r="D63" s="134"/>
      <c r="E63" s="134"/>
      <c r="F63" s="134"/>
      <c r="G63" s="134"/>
      <c r="H63" s="134"/>
    </row>
    <row r="64" spans="1:14" ht="15.75" customHeight="1">
      <c r="A64" s="134"/>
      <c r="B64" s="134"/>
      <c r="C64" s="134"/>
      <c r="D64" s="134"/>
      <c r="E64" s="134"/>
      <c r="F64" s="134"/>
      <c r="G64" s="134"/>
      <c r="H64" s="134"/>
    </row>
    <row r="65" spans="1:8" ht="15.75" customHeight="1">
      <c r="A65" s="134"/>
      <c r="B65" s="134"/>
      <c r="C65" s="134"/>
      <c r="D65" s="134"/>
      <c r="E65" s="134"/>
      <c r="F65" s="134"/>
      <c r="G65" s="134"/>
      <c r="H65" s="134"/>
    </row>
    <row r="66" spans="1:8" ht="15.75" customHeight="1">
      <c r="A66" s="134"/>
      <c r="B66" s="134"/>
      <c r="C66" s="134"/>
      <c r="D66" s="134"/>
      <c r="E66" s="134"/>
      <c r="F66" s="134"/>
      <c r="G66" s="134"/>
      <c r="H66" s="134"/>
    </row>
    <row r="67" spans="1:8" ht="15.75" customHeight="1">
      <c r="A67" s="134"/>
      <c r="B67" s="134"/>
      <c r="C67" s="134"/>
      <c r="D67" s="134"/>
      <c r="E67" s="134"/>
      <c r="F67" s="134"/>
      <c r="G67" s="134"/>
      <c r="H67" s="134"/>
    </row>
    <row r="68" spans="1:8" ht="15.75" customHeight="1">
      <c r="A68" s="134"/>
      <c r="B68" s="134"/>
      <c r="C68" s="134"/>
      <c r="D68" s="134"/>
      <c r="E68" s="134"/>
      <c r="F68" s="134"/>
      <c r="G68" s="134"/>
      <c r="H68" s="134"/>
    </row>
    <row r="69" spans="1:8" ht="15.75" customHeight="1">
      <c r="A69" s="134"/>
      <c r="B69" s="134"/>
      <c r="C69" s="134"/>
      <c r="D69" s="134"/>
      <c r="E69" s="134"/>
      <c r="F69" s="134"/>
      <c r="G69" s="134"/>
      <c r="H69" s="134"/>
    </row>
    <row r="70" spans="1:8" ht="15.75" customHeight="1">
      <c r="A70" s="134"/>
      <c r="B70" s="134"/>
      <c r="C70" s="134"/>
      <c r="D70" s="134"/>
      <c r="E70" s="134"/>
      <c r="F70" s="134"/>
      <c r="G70" s="134"/>
      <c r="H70" s="134"/>
    </row>
    <row r="71" spans="1:8" ht="15.75" customHeight="1">
      <c r="A71" s="134"/>
      <c r="B71" s="134"/>
      <c r="C71" s="134"/>
      <c r="D71" s="134"/>
      <c r="E71" s="134"/>
      <c r="F71" s="134"/>
      <c r="G71" s="134"/>
      <c r="H71" s="134"/>
    </row>
    <row r="72" spans="1:8" ht="15.75" customHeight="1">
      <c r="A72" s="134"/>
      <c r="B72" s="134"/>
      <c r="C72" s="134"/>
      <c r="D72" s="134"/>
      <c r="E72" s="134"/>
      <c r="F72" s="134"/>
      <c r="G72" s="134"/>
      <c r="H72" s="134"/>
    </row>
    <row r="73" spans="1:8" ht="15.75" customHeight="1"/>
    <row r="74" spans="1:8" ht="15.75" customHeight="1"/>
    <row r="75" spans="1:8" ht="15.75" customHeight="1"/>
    <row r="76" spans="1:8" ht="15.75" customHeight="1"/>
    <row r="77" spans="1:8" ht="15.75" customHeight="1"/>
    <row r="78" spans="1:8" ht="15.75" customHeight="1"/>
    <row r="79" spans="1:8" ht="15.75" customHeight="1"/>
    <row r="80" spans="1:8"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sheetData>
  <mergeCells count="21">
    <mergeCell ref="C52:N52"/>
    <mergeCell ref="C51:N51"/>
    <mergeCell ref="C49:N49"/>
    <mergeCell ref="C47:N47"/>
    <mergeCell ref="C48:N48"/>
    <mergeCell ref="C50:N50"/>
    <mergeCell ref="C25:E25"/>
    <mergeCell ref="C27:E27"/>
    <mergeCell ref="B4:D4"/>
    <mergeCell ref="D16:F16"/>
    <mergeCell ref="B16:C16"/>
    <mergeCell ref="B11:H11"/>
    <mergeCell ref="B18:G18"/>
    <mergeCell ref="B29:J29"/>
    <mergeCell ref="C46:N46"/>
    <mergeCell ref="E30:H30"/>
    <mergeCell ref="E31:H31"/>
    <mergeCell ref="E32:H32"/>
    <mergeCell ref="E33:H33"/>
    <mergeCell ref="E34:H34"/>
    <mergeCell ref="E35:H35"/>
  </mergeCells>
  <hyperlinks>
    <hyperlink ref="C48" r:id="rId1" location="polycard_client=search-nordic&amp;position=1&amp;search_layout=grid&amp;type=item&amp;tracking_id=fcc85f51-2022-4d2c-97d5-758d2cd7afdb" xr:uid="{00000000-0004-0000-1300-000000000000}"/>
    <hyperlink ref="C49" r:id="rId2" xr:uid="{00000000-0004-0000-1300-000001000000}"/>
    <hyperlink ref="C51" r:id="rId3" xr:uid="{00000000-0004-0000-1300-000002000000}"/>
    <hyperlink ref="C50" r:id="rId4" location="reco_item_pos=1&amp;reco_backend=ranker-retrieval-v2p&amp;reco_backend_type=low_level&amp;reco_client=vip-v2p&amp;reco_id=63c98903-4d99-436d-85cd-e070c95de555" xr:uid="{00000000-0004-0000-1300-000003000000}"/>
    <hyperlink ref="C47" r:id="rId5" location="position=4&amp;search_layout=stack&amp;type=item&amp;tracking_id=cb7a127b-04d0-49da-844e-aafbd2348b3e" xr:uid="{00000000-0004-0000-1300-000004000000}"/>
    <hyperlink ref="C2" location="Indice!A1" display="INDICE" xr:uid="{00000000-0004-0000-1300-000005000000}"/>
  </hyperlinks>
  <pageMargins left="0.7" right="0.7" top="0.75" bottom="0.75" header="0" footer="0"/>
  <pageSetup orientation="landscape" r:id="rId6"/>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92D050"/>
  </sheetPr>
  <dimension ref="B1:P817"/>
  <sheetViews>
    <sheetView showGridLines="0" topLeftCell="A52" zoomScale="80" zoomScaleNormal="80" workbookViewId="0">
      <selection activeCell="E70" sqref="E70:E74"/>
    </sheetView>
  </sheetViews>
  <sheetFormatPr defaultColWidth="14.28515625" defaultRowHeight="15" customHeight="1"/>
  <cols>
    <col min="1" max="1" width="5.7109375" customWidth="1"/>
    <col min="2" max="2" width="32" customWidth="1"/>
    <col min="3" max="3" width="24.7109375" customWidth="1"/>
    <col min="4" max="4" width="21.28515625" bestFit="1" customWidth="1"/>
    <col min="5" max="5" width="16.5703125" customWidth="1"/>
    <col min="6" max="6" width="21.140625" customWidth="1"/>
    <col min="7" max="7" width="17.85546875" customWidth="1"/>
    <col min="8" max="18" width="10.7109375" customWidth="1"/>
  </cols>
  <sheetData>
    <row r="1" spans="2:16" ht="14.45">
      <c r="B1" s="119"/>
    </row>
    <row r="2" spans="2:16" ht="14.45">
      <c r="B2" s="1305" t="s">
        <v>126</v>
      </c>
      <c r="C2" s="337" t="s">
        <v>49</v>
      </c>
    </row>
    <row r="3" spans="2:16" thickBot="1">
      <c r="B3" s="119"/>
    </row>
    <row r="4" spans="2:16" ht="19.899999999999999" customHeight="1" thickBot="1">
      <c r="B4" s="1646" t="s">
        <v>760</v>
      </c>
      <c r="C4" s="1647"/>
      <c r="D4" s="1648"/>
      <c r="E4" s="1305"/>
      <c r="F4" s="1633" t="s">
        <v>761</v>
      </c>
      <c r="G4" s="1634"/>
      <c r="H4" s="1634"/>
      <c r="I4" s="1634"/>
      <c r="J4" s="1634"/>
      <c r="K4" s="1634"/>
      <c r="L4" s="1635"/>
      <c r="O4" s="797" t="s">
        <v>166</v>
      </c>
      <c r="P4" s="21">
        <v>1002.5</v>
      </c>
    </row>
    <row r="5" spans="2:16" thickBot="1">
      <c r="B5" s="817" t="s">
        <v>540</v>
      </c>
      <c r="C5" s="1358">
        <v>5</v>
      </c>
      <c r="D5" s="22" t="s">
        <v>762</v>
      </c>
      <c r="E5" s="1305"/>
      <c r="F5" s="153" t="s">
        <v>763</v>
      </c>
      <c r="J5" t="s">
        <v>764</v>
      </c>
      <c r="L5" s="135"/>
      <c r="O5" s="798" t="s">
        <v>167</v>
      </c>
      <c r="P5" s="810">
        <v>2.1999999999999999E-2</v>
      </c>
    </row>
    <row r="6" spans="2:16" ht="14.45">
      <c r="B6" s="136" t="s">
        <v>765</v>
      </c>
      <c r="C6" s="1360">
        <v>9</v>
      </c>
      <c r="D6" s="4" t="s">
        <v>766</v>
      </c>
      <c r="E6" s="1305"/>
      <c r="F6" s="154" t="s">
        <v>767</v>
      </c>
      <c r="L6" s="135"/>
    </row>
    <row r="7" spans="2:16" thickBot="1">
      <c r="B7" s="136" t="s">
        <v>673</v>
      </c>
      <c r="C7" s="1360">
        <v>1</v>
      </c>
      <c r="D7" s="4" t="s">
        <v>768</v>
      </c>
      <c r="E7" s="1305"/>
      <c r="F7" s="155" t="s">
        <v>769</v>
      </c>
      <c r="G7" s="137"/>
      <c r="H7" s="137"/>
      <c r="I7" s="137"/>
      <c r="J7" s="137"/>
      <c r="K7" s="137"/>
      <c r="L7" s="138"/>
    </row>
    <row r="8" spans="2:16" ht="14.45">
      <c r="B8" s="136" t="s">
        <v>770</v>
      </c>
      <c r="C8" s="1360">
        <v>1</v>
      </c>
      <c r="D8" s="4" t="s">
        <v>771</v>
      </c>
      <c r="E8" s="1305"/>
      <c r="F8" s="140" t="s">
        <v>772</v>
      </c>
    </row>
    <row r="9" spans="2:16" ht="14.45">
      <c r="B9" s="136" t="s">
        <v>773</v>
      </c>
      <c r="C9" s="1360">
        <v>13</v>
      </c>
      <c r="D9" s="4" t="s">
        <v>774</v>
      </c>
      <c r="E9" s="1305"/>
      <c r="F9" s="1305"/>
      <c r="G9" s="1305"/>
      <c r="H9" s="1305"/>
      <c r="I9" s="1305"/>
      <c r="J9" s="1305"/>
      <c r="K9" s="1305"/>
    </row>
    <row r="10" spans="2:16" ht="14.45">
      <c r="B10" s="136" t="s">
        <v>775</v>
      </c>
      <c r="C10" s="1360">
        <v>7</v>
      </c>
      <c r="D10" s="4" t="s">
        <v>774</v>
      </c>
      <c r="E10" s="1305"/>
      <c r="F10" s="1305"/>
      <c r="G10" s="1305"/>
      <c r="H10" s="1305"/>
      <c r="I10" s="1305"/>
      <c r="J10" s="1305"/>
      <c r="K10" s="1305"/>
    </row>
    <row r="11" spans="2:16" ht="14.45">
      <c r="B11" s="136" t="s">
        <v>776</v>
      </c>
      <c r="C11" s="1360">
        <v>9</v>
      </c>
      <c r="D11" s="4" t="s">
        <v>774</v>
      </c>
      <c r="G11" s="1305"/>
      <c r="H11" s="1305"/>
      <c r="I11" s="1305"/>
      <c r="J11" s="1305"/>
      <c r="K11" s="1305"/>
    </row>
    <row r="12" spans="2:16" ht="14.45">
      <c r="B12" s="136" t="s">
        <v>777</v>
      </c>
      <c r="C12" s="1360">
        <v>2</v>
      </c>
      <c r="D12" s="4" t="s">
        <v>774</v>
      </c>
      <c r="E12" s="1305"/>
      <c r="F12" s="1305"/>
      <c r="G12" s="1305"/>
      <c r="H12" s="1305"/>
      <c r="I12" s="1305"/>
      <c r="J12" s="1305"/>
      <c r="K12" s="1305"/>
    </row>
    <row r="13" spans="2:16" ht="14.45">
      <c r="B13" s="136" t="s">
        <v>778</v>
      </c>
      <c r="C13" s="141">
        <v>8.3299999999999999E-2</v>
      </c>
      <c r="D13" s="4"/>
      <c r="E13" s="1305"/>
      <c r="F13" s="1305"/>
      <c r="G13" s="1305"/>
      <c r="H13" s="1305"/>
      <c r="I13" s="1305"/>
      <c r="J13" s="1305"/>
      <c r="K13" s="1305"/>
    </row>
    <row r="14" spans="2:16" ht="14.45">
      <c r="B14" s="136" t="s">
        <v>779</v>
      </c>
      <c r="C14" s="120">
        <v>0.4</v>
      </c>
      <c r="D14" s="4"/>
      <c r="E14" s="1305"/>
      <c r="F14" s="156" t="s">
        <v>780</v>
      </c>
      <c r="G14" s="1305"/>
      <c r="H14" s="1305"/>
      <c r="I14" s="1305"/>
      <c r="J14" s="1305"/>
      <c r="K14" s="1305"/>
    </row>
    <row r="15" spans="2:16" ht="14.45">
      <c r="B15" s="136" t="s">
        <v>781</v>
      </c>
      <c r="C15" s="142">
        <v>5.1999999999999998E-2</v>
      </c>
      <c r="D15" s="4"/>
      <c r="E15" s="1305"/>
      <c r="F15" s="1305"/>
      <c r="G15" s="1305"/>
      <c r="H15" s="1305"/>
      <c r="I15" s="1305"/>
      <c r="J15" s="1305"/>
      <c r="K15" s="1305"/>
    </row>
    <row r="16" spans="2:16" ht="17.649999999999999" customHeight="1">
      <c r="B16" s="124" t="s">
        <v>782</v>
      </c>
      <c r="C16" s="818">
        <f>+D20/(D19*1)</f>
        <v>4020.65</v>
      </c>
      <c r="D16" s="4" t="s">
        <v>783</v>
      </c>
      <c r="E16" s="1305"/>
      <c r="G16" s="1305"/>
      <c r="H16" s="1305"/>
      <c r="I16" s="1305"/>
      <c r="J16" s="1305"/>
    </row>
    <row r="17" spans="2:10" ht="17.649999999999999" customHeight="1" thickBot="1">
      <c r="B17" s="125" t="s">
        <v>784</v>
      </c>
      <c r="C17" s="819">
        <f>4200.51</f>
        <v>4200.51</v>
      </c>
      <c r="D17" s="5" t="s">
        <v>785</v>
      </c>
      <c r="E17" s="1305"/>
      <c r="G17" s="1305"/>
      <c r="H17" s="1305"/>
      <c r="I17" s="1305"/>
      <c r="J17" s="1305"/>
    </row>
    <row r="18" spans="2:10" thickBot="1">
      <c r="B18" s="1305"/>
      <c r="C18" s="1305"/>
      <c r="D18" s="1305"/>
      <c r="E18" s="1305"/>
      <c r="F18" s="1305"/>
      <c r="G18" s="1305"/>
      <c r="H18" s="1305"/>
      <c r="I18" s="1305"/>
      <c r="J18" s="1305"/>
    </row>
    <row r="19" spans="2:10" ht="14.45">
      <c r="B19" s="1649" t="s">
        <v>786</v>
      </c>
      <c r="C19" s="1650"/>
      <c r="D19" s="491">
        <v>8</v>
      </c>
      <c r="E19" t="s">
        <v>766</v>
      </c>
    </row>
    <row r="20" spans="2:10" thickBot="1">
      <c r="B20" s="1651" t="s">
        <v>787</v>
      </c>
      <c r="C20" s="1652"/>
      <c r="D20" s="1365">
        <f>4020.65*8</f>
        <v>32165.200000000001</v>
      </c>
    </row>
    <row r="21" spans="2:10" ht="15.75" customHeight="1" thickBot="1"/>
    <row r="22" spans="2:10" ht="19.899999999999999" customHeight="1" thickBot="1">
      <c r="B22" s="1653" t="s">
        <v>788</v>
      </c>
      <c r="C22" s="1654"/>
      <c r="D22" s="1654"/>
      <c r="E22" s="1655"/>
    </row>
    <row r="23" spans="2:10" ht="15.75" customHeight="1">
      <c r="B23" s="143" t="s">
        <v>789</v>
      </c>
      <c r="C23" s="1329"/>
      <c r="D23" s="1329">
        <v>365</v>
      </c>
      <c r="E23" s="1322" t="s">
        <v>790</v>
      </c>
      <c r="G23" s="1305"/>
      <c r="H23" s="1305"/>
      <c r="I23" s="1305"/>
    </row>
    <row r="24" spans="2:10" ht="15.75" customHeight="1">
      <c r="B24" s="144" t="s">
        <v>791</v>
      </c>
      <c r="C24" s="1307" t="s">
        <v>792</v>
      </c>
      <c r="D24" s="1307">
        <v>104</v>
      </c>
      <c r="E24" s="1309" t="s">
        <v>790</v>
      </c>
      <c r="G24" s="1305"/>
      <c r="H24" s="1305"/>
      <c r="I24" s="1305"/>
    </row>
    <row r="25" spans="2:10" ht="15.75" customHeight="1">
      <c r="B25" s="144" t="s">
        <v>762</v>
      </c>
      <c r="C25" s="1307"/>
      <c r="D25" s="1307">
        <f>+D23-D24</f>
        <v>261</v>
      </c>
      <c r="E25" s="1309" t="s">
        <v>790</v>
      </c>
      <c r="G25" s="1305"/>
      <c r="H25" s="1305"/>
      <c r="I25" s="1305"/>
    </row>
    <row r="26" spans="2:10" ht="15.75" customHeight="1">
      <c r="B26" s="144" t="s">
        <v>793</v>
      </c>
      <c r="C26" s="1307" t="s">
        <v>792</v>
      </c>
      <c r="D26" s="145">
        <f>C9+C10+C11+C12</f>
        <v>31</v>
      </c>
      <c r="E26" s="1309" t="s">
        <v>790</v>
      </c>
      <c r="G26" s="1305"/>
      <c r="H26" s="1305"/>
      <c r="I26" s="1305"/>
    </row>
    <row r="27" spans="2:10" ht="15.75" customHeight="1" thickBot="1">
      <c r="B27" s="146" t="s">
        <v>794</v>
      </c>
      <c r="C27" s="147"/>
      <c r="D27" s="147">
        <f>+D25-D26</f>
        <v>230</v>
      </c>
      <c r="E27" s="148" t="s">
        <v>790</v>
      </c>
      <c r="G27" s="1305"/>
      <c r="H27" s="1305"/>
    </row>
    <row r="28" spans="2:10" ht="15.75" customHeight="1" thickBot="1">
      <c r="B28" s="1658"/>
      <c r="C28" s="1659"/>
      <c r="D28" s="1659"/>
      <c r="E28" s="1660"/>
      <c r="G28" s="1305"/>
      <c r="H28" s="1305"/>
    </row>
    <row r="29" spans="2:10" ht="15.75" customHeight="1" thickBot="1">
      <c r="B29" s="1656" t="s">
        <v>795</v>
      </c>
      <c r="C29" s="1657"/>
      <c r="D29" s="149">
        <f>+D27*D19</f>
        <v>1840</v>
      </c>
      <c r="E29" s="150" t="s">
        <v>796</v>
      </c>
      <c r="H29" s="1305"/>
    </row>
    <row r="30" spans="2:10" ht="15.75" customHeight="1" thickBot="1">
      <c r="G30" s="1305"/>
      <c r="H30" s="1305"/>
    </row>
    <row r="31" spans="2:10" ht="19.899999999999999" customHeight="1" thickBot="1">
      <c r="B31" s="1636" t="s">
        <v>797</v>
      </c>
      <c r="C31" s="1637"/>
      <c r="D31" s="1637"/>
      <c r="E31" s="1638"/>
      <c r="F31" s="221"/>
      <c r="G31" s="1305"/>
      <c r="H31" s="1305"/>
    </row>
    <row r="32" spans="2:10" ht="15.75" customHeight="1">
      <c r="B32" s="157" t="s">
        <v>798</v>
      </c>
      <c r="C32" s="1358"/>
      <c r="D32" s="1358">
        <v>1</v>
      </c>
      <c r="E32" s="22" t="s">
        <v>796</v>
      </c>
      <c r="G32" s="1305"/>
      <c r="H32" s="1305"/>
    </row>
    <row r="33" spans="2:9" ht="15.75" customHeight="1">
      <c r="B33" s="124" t="s">
        <v>799</v>
      </c>
      <c r="C33" s="1360"/>
      <c r="D33" s="1360">
        <f>+D27*D32</f>
        <v>230</v>
      </c>
      <c r="E33" s="4" t="s">
        <v>796</v>
      </c>
    </row>
    <row r="34" spans="2:9" ht="15.75" customHeight="1" thickBot="1">
      <c r="B34" s="125" t="s">
        <v>800</v>
      </c>
      <c r="C34" s="1367"/>
      <c r="D34" s="1367">
        <f>+D26*C6</f>
        <v>279</v>
      </c>
      <c r="E34" s="5" t="s">
        <v>796</v>
      </c>
    </row>
    <row r="35" spans="2:9" ht="15.75" customHeight="1" thickBot="1">
      <c r="B35" s="1641"/>
      <c r="C35" s="1642"/>
      <c r="D35" s="1642"/>
      <c r="E35" s="1643"/>
    </row>
    <row r="36" spans="2:9" ht="15.75" customHeight="1" thickBot="1">
      <c r="B36" s="1639" t="s">
        <v>801</v>
      </c>
      <c r="C36" s="1640"/>
      <c r="D36" s="158">
        <f>SUM(D33+D34)</f>
        <v>509</v>
      </c>
      <c r="E36" s="151" t="s">
        <v>796</v>
      </c>
    </row>
    <row r="37" spans="2:9" ht="15.75" customHeight="1" thickBot="1">
      <c r="B37" s="1612"/>
      <c r="C37" s="1644"/>
      <c r="D37" s="1644"/>
      <c r="E37" s="1645"/>
    </row>
    <row r="38" spans="2:9" ht="15.75" customHeight="1" thickBot="1">
      <c r="B38" s="1472" t="s">
        <v>802</v>
      </c>
      <c r="C38" s="1473"/>
      <c r="D38" s="1664">
        <f>D36/D29</f>
        <v>0.27663043478260868</v>
      </c>
      <c r="E38" s="1665"/>
    </row>
    <row r="39" spans="2:9" ht="15.75" customHeight="1" thickBot="1"/>
    <row r="40" spans="2:9" ht="19.899999999999999" customHeight="1" thickBot="1">
      <c r="B40" s="1538" t="s">
        <v>803</v>
      </c>
      <c r="C40" s="1539"/>
      <c r="D40" s="1539"/>
      <c r="E40" s="1539"/>
      <c r="F40" s="1539"/>
      <c r="G40" s="1540"/>
      <c r="H40" s="1305"/>
      <c r="I40" s="1305"/>
    </row>
    <row r="41" spans="2:9" ht="15.75" customHeight="1">
      <c r="B41" s="1666"/>
      <c r="C41" s="172" t="s">
        <v>804</v>
      </c>
      <c r="D41" s="173" t="s">
        <v>805</v>
      </c>
      <c r="E41" s="172" t="s">
        <v>806</v>
      </c>
      <c r="F41" s="172" t="s">
        <v>807</v>
      </c>
      <c r="G41" s="174" t="s">
        <v>808</v>
      </c>
      <c r="H41" s="1305"/>
      <c r="I41" s="1305"/>
    </row>
    <row r="42" spans="2:9" ht="15.75" customHeight="1">
      <c r="B42" s="1667"/>
      <c r="C42" s="1307"/>
      <c r="D42" s="167">
        <f>+C13</f>
        <v>8.3299999999999999E-2</v>
      </c>
      <c r="E42" s="1330"/>
      <c r="F42" s="168">
        <f>+C14</f>
        <v>0.4</v>
      </c>
      <c r="G42" s="169"/>
      <c r="H42" s="1305"/>
      <c r="I42" s="1305"/>
    </row>
    <row r="43" spans="2:9" ht="15.75" customHeight="1">
      <c r="B43" s="175" t="s">
        <v>804</v>
      </c>
      <c r="C43" s="160">
        <v>100</v>
      </c>
      <c r="D43" s="170">
        <f>+C43*D42</f>
        <v>8.33</v>
      </c>
      <c r="E43" s="160">
        <f>SUM(C43:D43)</f>
        <v>108.33</v>
      </c>
      <c r="F43" s="160">
        <f>+E43*F42</f>
        <v>43.332000000000001</v>
      </c>
      <c r="G43" s="164">
        <f>SUM(E43:F43)</f>
        <v>151.66200000000001</v>
      </c>
      <c r="H43" s="152"/>
      <c r="I43" s="1305"/>
    </row>
    <row r="44" spans="2:9" ht="15.75" customHeight="1">
      <c r="B44" s="175" t="s">
        <v>793</v>
      </c>
      <c r="C44" s="160">
        <f>C43*D38</f>
        <v>27.663043478260867</v>
      </c>
      <c r="D44" s="161"/>
      <c r="E44" s="161"/>
      <c r="F44" s="161"/>
      <c r="G44" s="161"/>
      <c r="H44" s="1305"/>
      <c r="I44" s="1305"/>
    </row>
    <row r="45" spans="2:9" ht="15.75" customHeight="1">
      <c r="B45" s="175" t="s">
        <v>809</v>
      </c>
      <c r="C45" s="164">
        <f>SUM(C43:C44)</f>
        <v>127.66304347826087</v>
      </c>
      <c r="D45" s="161"/>
      <c r="E45" s="161"/>
      <c r="F45" s="161"/>
      <c r="G45" s="161"/>
      <c r="H45" s="1305"/>
      <c r="I45" s="1305"/>
    </row>
    <row r="46" spans="2:9" ht="15.75" customHeight="1">
      <c r="B46" s="175" t="s">
        <v>810</v>
      </c>
      <c r="C46" s="165">
        <f>C45*G43/100</f>
        <v>193.61632500000005</v>
      </c>
      <c r="D46" s="162"/>
      <c r="E46" s="162"/>
      <c r="F46" s="162"/>
      <c r="G46" s="162"/>
    </row>
    <row r="47" spans="2:9" ht="21" customHeight="1">
      <c r="B47" s="176" t="s">
        <v>811</v>
      </c>
      <c r="C47" s="166">
        <f>C43*C15</f>
        <v>5.2</v>
      </c>
      <c r="D47" s="162"/>
      <c r="E47" s="162"/>
      <c r="F47" s="163"/>
      <c r="G47" s="162"/>
    </row>
    <row r="48" spans="2:9" ht="15.75" customHeight="1" thickBot="1">
      <c r="B48" s="177" t="s">
        <v>812</v>
      </c>
      <c r="C48" s="171">
        <f>(C46+C47)/100</f>
        <v>1.9881632500000004</v>
      </c>
      <c r="D48" s="161"/>
      <c r="E48" s="162"/>
      <c r="F48" s="162"/>
      <c r="G48" s="162"/>
    </row>
    <row r="49" spans="2:6" ht="15.75" customHeight="1" thickBot="1">
      <c r="F49" s="1305"/>
    </row>
    <row r="50" spans="2:6" ht="15.75" customHeight="1">
      <c r="B50" s="179"/>
      <c r="C50" s="104" t="s">
        <v>813</v>
      </c>
      <c r="D50" s="104" t="s">
        <v>814</v>
      </c>
      <c r="E50" s="104" t="s">
        <v>815</v>
      </c>
      <c r="F50" s="1377" t="s">
        <v>816</v>
      </c>
    </row>
    <row r="51" spans="2:6" ht="15.75" customHeight="1" thickBot="1">
      <c r="B51" s="1337" t="s">
        <v>817</v>
      </c>
      <c r="C51" s="178">
        <f>+C16</f>
        <v>4020.65</v>
      </c>
      <c r="D51" s="159">
        <f>C48</f>
        <v>1.9881632500000004</v>
      </c>
      <c r="E51" s="816">
        <f>+C51*D51</f>
        <v>7993.7085711125019</v>
      </c>
      <c r="F51" s="248">
        <f>E51/P4</f>
        <v>7.9737741357730689</v>
      </c>
    </row>
    <row r="52" spans="2:6" ht="15.75" customHeight="1" thickBot="1"/>
    <row r="53" spans="2:6" ht="30" customHeight="1">
      <c r="B53" s="179"/>
      <c r="C53" s="1327" t="s">
        <v>818</v>
      </c>
      <c r="D53" s="1327" t="s">
        <v>819</v>
      </c>
      <c r="E53" s="1336" t="s">
        <v>820</v>
      </c>
    </row>
    <row r="54" spans="2:6" ht="15.75" customHeight="1" thickBot="1">
      <c r="B54" s="1337" t="s">
        <v>821</v>
      </c>
      <c r="C54" s="244">
        <f>1/'3.5 - Personal requerido'!C13</f>
        <v>3.125E-2</v>
      </c>
      <c r="D54" s="243">
        <f>F51</f>
        <v>7.9737741357730689</v>
      </c>
      <c r="E54" s="226">
        <f>C54*D54</f>
        <v>0.2491804417429084</v>
      </c>
    </row>
    <row r="55" spans="2:6" ht="15.75" customHeight="1" thickBot="1"/>
    <row r="56" spans="2:6" ht="15.75" customHeight="1" thickBot="1">
      <c r="B56" s="1469" t="s">
        <v>822</v>
      </c>
      <c r="C56" s="1471"/>
    </row>
    <row r="57" spans="2:6" ht="15.75" customHeight="1">
      <c r="B57" s="1332" t="s">
        <v>50</v>
      </c>
      <c r="C57" s="1336" t="s">
        <v>823</v>
      </c>
    </row>
    <row r="58" spans="2:6" ht="15.75" customHeight="1">
      <c r="B58" s="182">
        <v>2024</v>
      </c>
      <c r="C58" s="827">
        <f>E54</f>
        <v>0.2491804417429084</v>
      </c>
    </row>
    <row r="59" spans="2:6" ht="15.75" customHeight="1">
      <c r="B59" s="182">
        <v>2025</v>
      </c>
      <c r="C59" s="827">
        <f>C58*(1+P5)</f>
        <v>0.2546624114612524</v>
      </c>
    </row>
    <row r="60" spans="2:6" ht="15.75" customHeight="1">
      <c r="B60" s="182">
        <v>2026</v>
      </c>
      <c r="C60" s="827">
        <f>C59*(1+P5)</f>
        <v>0.26026498451339997</v>
      </c>
    </row>
    <row r="61" spans="2:6" ht="15.75" customHeight="1">
      <c r="B61" s="182">
        <v>2027</v>
      </c>
      <c r="C61" s="827">
        <f>C60*(1+P5)</f>
        <v>0.26599081417269477</v>
      </c>
    </row>
    <row r="62" spans="2:6" ht="15.75" customHeight="1" thickBot="1">
      <c r="B62" s="183">
        <v>2028</v>
      </c>
      <c r="C62" s="828">
        <f>C61*(1+P5)</f>
        <v>0.27184261208449406</v>
      </c>
    </row>
    <row r="63" spans="2:6" ht="15.75" customHeight="1" thickBot="1"/>
    <row r="64" spans="2:6" ht="15.75" customHeight="1" thickBot="1">
      <c r="B64" s="1355" t="s">
        <v>824</v>
      </c>
      <c r="C64" s="1316" t="s">
        <v>825</v>
      </c>
      <c r="D64" s="1316" t="s">
        <v>826</v>
      </c>
      <c r="E64" s="1316" t="s">
        <v>827</v>
      </c>
      <c r="F64" s="1317" t="s">
        <v>828</v>
      </c>
    </row>
    <row r="65" spans="2:6" ht="15.75" customHeight="1">
      <c r="B65" s="130" t="s">
        <v>675</v>
      </c>
      <c r="C65" s="821">
        <f>C16*180</f>
        <v>723717</v>
      </c>
      <c r="D65" s="822">
        <f>C65*D51</f>
        <v>1438867.5428002502</v>
      </c>
      <c r="E65" s="823">
        <f>D65*13</f>
        <v>18705278.056403253</v>
      </c>
      <c r="F65" s="247">
        <f>E65/P4</f>
        <v>18658.631477708979</v>
      </c>
    </row>
    <row r="66" spans="2:6" ht="15.75" customHeight="1" thickBot="1">
      <c r="B66" s="32" t="s">
        <v>829</v>
      </c>
      <c r="C66" s="215">
        <f>C17*180</f>
        <v>756091.8</v>
      </c>
      <c r="D66" s="215">
        <f>C66*D51</f>
        <v>1503233.9303863505</v>
      </c>
      <c r="E66" s="820">
        <f>D66*13</f>
        <v>19542041.095022555</v>
      </c>
      <c r="F66" s="246">
        <f>E66/P4</f>
        <v>19493.307825458909</v>
      </c>
    </row>
    <row r="67" spans="2:6" ht="15.75" customHeight="1" thickBot="1"/>
    <row r="68" spans="2:6" ht="15.75" customHeight="1" thickBot="1">
      <c r="B68" s="1661" t="s">
        <v>830</v>
      </c>
      <c r="C68" s="1662"/>
      <c r="D68" s="1662"/>
      <c r="E68" s="1662"/>
      <c r="F68" s="1663"/>
    </row>
    <row r="69" spans="2:6" ht="31.9" customHeight="1">
      <c r="B69" s="1332" t="s">
        <v>50</v>
      </c>
      <c r="C69" s="1327" t="s">
        <v>823</v>
      </c>
      <c r="D69" s="1327" t="s">
        <v>831</v>
      </c>
      <c r="E69" s="1327" t="s">
        <v>832</v>
      </c>
      <c r="F69" s="1336" t="s">
        <v>833</v>
      </c>
    </row>
    <row r="70" spans="2:6" ht="15.75" customHeight="1">
      <c r="B70" s="182">
        <v>2024</v>
      </c>
      <c r="C70" s="1360">
        <f>'3.5 - Personal requerido'!C27</f>
        <v>1</v>
      </c>
      <c r="D70" s="487">
        <f>F65</f>
        <v>18658.631477708979</v>
      </c>
      <c r="E70" s="487">
        <f>C70*D70</f>
        <v>18658.631477708979</v>
      </c>
      <c r="F70" s="235">
        <f>E70/12</f>
        <v>1554.8859564757483</v>
      </c>
    </row>
    <row r="71" spans="2:6" ht="15.75" customHeight="1">
      <c r="B71" s="182">
        <v>2025</v>
      </c>
      <c r="C71" s="1360">
        <f>'3.5 - Personal requerido'!C28</f>
        <v>2</v>
      </c>
      <c r="D71" s="487">
        <f>F65*(1+P5)</f>
        <v>19069.121370218578</v>
      </c>
      <c r="E71" s="487">
        <f>C71*D71</f>
        <v>38138.242740437156</v>
      </c>
      <c r="F71" s="235">
        <f>E71/12</f>
        <v>3178.1868950364296</v>
      </c>
    </row>
    <row r="72" spans="2:6" ht="15.75" customHeight="1">
      <c r="B72" s="182">
        <v>2026</v>
      </c>
      <c r="C72" s="1360">
        <f>'3.5 - Personal requerido'!C29</f>
        <v>4</v>
      </c>
      <c r="D72" s="487">
        <f>D71*(1+P5)</f>
        <v>19488.642040363386</v>
      </c>
      <c r="E72" s="487">
        <f>C72*D72</f>
        <v>77954.568161453542</v>
      </c>
      <c r="F72" s="235">
        <f>E72/12</f>
        <v>6496.2140134544616</v>
      </c>
    </row>
    <row r="73" spans="2:6" ht="15.75" customHeight="1">
      <c r="B73" s="182">
        <v>2027</v>
      </c>
      <c r="C73" s="1360">
        <f>'3.5 - Personal requerido'!C30</f>
        <v>4</v>
      </c>
      <c r="D73" s="487">
        <f>D72*(1+P5)</f>
        <v>19917.392165251382</v>
      </c>
      <c r="E73" s="487">
        <f>C73*D73</f>
        <v>79669.568661005527</v>
      </c>
      <c r="F73" s="235">
        <f>E73/12</f>
        <v>6639.1307217504609</v>
      </c>
    </row>
    <row r="74" spans="2:6" ht="15.75" customHeight="1" thickBot="1">
      <c r="B74" s="183">
        <v>2028</v>
      </c>
      <c r="C74" s="1367">
        <f>'3.5 - Personal requerido'!C31</f>
        <v>6</v>
      </c>
      <c r="D74" s="243">
        <f>D73*(1+P5)</f>
        <v>20355.574792886913</v>
      </c>
      <c r="E74" s="243">
        <f>C74*D74</f>
        <v>122133.44875732149</v>
      </c>
      <c r="F74" s="246">
        <f>E74/12</f>
        <v>10177.787396443457</v>
      </c>
    </row>
    <row r="75" spans="2:6" ht="15.75" customHeight="1"/>
    <row r="76" spans="2:6" ht="15.75" customHeight="1"/>
    <row r="77" spans="2:6" ht="15.75" customHeight="1"/>
    <row r="78" spans="2:6" ht="15.75" customHeight="1"/>
    <row r="79" spans="2:6" ht="15.75" customHeight="1"/>
    <row r="80" spans="2:6"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sheetData>
  <mergeCells count="17">
    <mergeCell ref="B68:F68"/>
    <mergeCell ref="B38:C38"/>
    <mergeCell ref="D38:E38"/>
    <mergeCell ref="B40:G40"/>
    <mergeCell ref="B41:B42"/>
    <mergeCell ref="B56:C56"/>
    <mergeCell ref="F4:L4"/>
    <mergeCell ref="B31:E31"/>
    <mergeCell ref="B36:C36"/>
    <mergeCell ref="B35:E35"/>
    <mergeCell ref="B37:E37"/>
    <mergeCell ref="B4:D4"/>
    <mergeCell ref="B19:C19"/>
    <mergeCell ref="B20:C20"/>
    <mergeCell ref="B22:E22"/>
    <mergeCell ref="B29:C29"/>
    <mergeCell ref="B28:E28"/>
  </mergeCells>
  <hyperlinks>
    <hyperlink ref="C2" location="Indice!A1" display="INDICE" xr:uid="{00000000-0004-0000-1400-000000000000}"/>
  </hyperlinks>
  <pageMargins left="0.7" right="0.7" top="0.75" bottom="0.75" header="0" footer="0"/>
  <pageSetup orientation="landscape"/>
  <ignoredErrors>
    <ignoredError sqref="D26 E43" formula="1"/>
  </ignoredErrors>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92D050"/>
  </sheetPr>
  <dimension ref="B2:O915"/>
  <sheetViews>
    <sheetView showGridLines="0" zoomScale="80" zoomScaleNormal="80" workbookViewId="0">
      <selection activeCell="L10" sqref="L10:L11"/>
    </sheetView>
  </sheetViews>
  <sheetFormatPr defaultColWidth="14.28515625" defaultRowHeight="14.45"/>
  <cols>
    <col min="1" max="1" width="6.28515625" customWidth="1"/>
    <col min="2" max="2" width="36.85546875" customWidth="1"/>
    <col min="3" max="3" width="16.42578125" customWidth="1"/>
    <col min="4" max="4" width="14.28515625" bestFit="1" customWidth="1"/>
    <col min="5" max="5" width="16.7109375" customWidth="1"/>
    <col min="6" max="6" width="12.85546875" bestFit="1" customWidth="1"/>
    <col min="7" max="7" width="13.28515625" bestFit="1" customWidth="1"/>
    <col min="8" max="8" width="12.85546875" bestFit="1" customWidth="1"/>
    <col min="9" max="9" width="13.28515625" bestFit="1" customWidth="1"/>
    <col min="10" max="10" width="12.85546875" bestFit="1" customWidth="1"/>
    <col min="11" max="11" width="13.28515625" bestFit="1" customWidth="1"/>
    <col min="12" max="12" width="12.85546875" bestFit="1" customWidth="1"/>
    <col min="13" max="13" width="8.7109375" customWidth="1"/>
    <col min="14" max="14" width="16.28515625" customWidth="1"/>
    <col min="15" max="15" width="15.85546875" customWidth="1"/>
    <col min="16" max="20" width="8.7109375" customWidth="1"/>
  </cols>
  <sheetData>
    <row r="2" spans="2:15">
      <c r="B2" s="1305" t="s">
        <v>126</v>
      </c>
      <c r="C2" s="337" t="s">
        <v>49</v>
      </c>
    </row>
    <row r="3" spans="2:15" ht="15" thickBot="1"/>
    <row r="4" spans="2:15" ht="15.75" customHeight="1" thickBot="1">
      <c r="B4" s="1673" t="s">
        <v>834</v>
      </c>
      <c r="C4" s="1674"/>
      <c r="D4" s="1674"/>
      <c r="E4" s="1674"/>
      <c r="F4" s="1674"/>
      <c r="G4" s="1674"/>
      <c r="H4" s="1674"/>
      <c r="I4" s="1674"/>
      <c r="J4" s="1674"/>
      <c r="K4" s="1674"/>
      <c r="L4" s="1675"/>
      <c r="N4" s="797" t="s">
        <v>166</v>
      </c>
      <c r="O4" s="21">
        <v>1002.5</v>
      </c>
    </row>
    <row r="5" spans="2:15" ht="15.75" customHeight="1" thickBot="1">
      <c r="B5" s="1353"/>
      <c r="C5" s="1671">
        <v>2024</v>
      </c>
      <c r="D5" s="1672"/>
      <c r="E5" s="1671">
        <v>2025</v>
      </c>
      <c r="F5" s="1672"/>
      <c r="G5" s="1671">
        <v>2026</v>
      </c>
      <c r="H5" s="1672"/>
      <c r="I5" s="1671">
        <v>2027</v>
      </c>
      <c r="J5" s="1672"/>
      <c r="K5" s="1671">
        <v>2028</v>
      </c>
      <c r="L5" s="1672"/>
      <c r="N5" s="798" t="s">
        <v>167</v>
      </c>
      <c r="O5" s="810">
        <v>2.1999999999999999E-2</v>
      </c>
    </row>
    <row r="6" spans="2:15" ht="15.75" customHeight="1" thickBot="1">
      <c r="B6" s="239" t="s">
        <v>345</v>
      </c>
      <c r="C6" s="240" t="s">
        <v>835</v>
      </c>
      <c r="D6" s="241" t="s">
        <v>836</v>
      </c>
      <c r="E6" s="240" t="s">
        <v>835</v>
      </c>
      <c r="F6" s="241" t="s">
        <v>836</v>
      </c>
      <c r="G6" s="240" t="s">
        <v>835</v>
      </c>
      <c r="H6" s="241" t="s">
        <v>836</v>
      </c>
      <c r="I6" s="240" t="s">
        <v>835</v>
      </c>
      <c r="J6" s="241" t="s">
        <v>836</v>
      </c>
      <c r="K6" s="242" t="s">
        <v>835</v>
      </c>
      <c r="L6" s="241" t="s">
        <v>836</v>
      </c>
    </row>
    <row r="7" spans="2:15" ht="15.75" customHeight="1">
      <c r="B7" s="238" t="s">
        <v>837</v>
      </c>
      <c r="C7" s="836">
        <f>$F$59</f>
        <v>422.22443890274315</v>
      </c>
      <c r="D7" s="837">
        <f>C7*12</f>
        <v>5066.6932668329173</v>
      </c>
      <c r="E7" s="839">
        <f>$F$60</f>
        <v>431.51337655860351</v>
      </c>
      <c r="F7" s="840">
        <f>E7*12</f>
        <v>5178.1605187032419</v>
      </c>
      <c r="G7" s="839">
        <f>$F$61</f>
        <v>882.01334168578546</v>
      </c>
      <c r="H7" s="840">
        <f>G7*12</f>
        <v>10584.160100229426</v>
      </c>
      <c r="I7" s="839">
        <f>$F$62</f>
        <v>901.41763520287282</v>
      </c>
      <c r="J7" s="840">
        <f>I7*12</f>
        <v>10817.011622434475</v>
      </c>
      <c r="K7" s="841">
        <f>$F$63</f>
        <v>921.24882317733602</v>
      </c>
      <c r="L7" s="840">
        <f>K7*12</f>
        <v>11054.985878128033</v>
      </c>
    </row>
    <row r="8" spans="2:15" ht="15.75" customHeight="1">
      <c r="B8" s="237" t="s">
        <v>838</v>
      </c>
      <c r="C8" s="838">
        <f>$F$51</f>
        <v>41.428428927680798</v>
      </c>
      <c r="D8" s="837">
        <f>C8*12</f>
        <v>497.14114713216958</v>
      </c>
      <c r="E8" s="842">
        <f>$F$52</f>
        <v>56.453139152119704</v>
      </c>
      <c r="F8" s="840">
        <f>E8*12</f>
        <v>677.43766982543639</v>
      </c>
      <c r="G8" s="839">
        <f>$F$53</f>
        <v>72.118885266832919</v>
      </c>
      <c r="H8" s="840">
        <f>G8*12</f>
        <v>865.42662320199497</v>
      </c>
      <c r="I8" s="839">
        <f>$F$54</f>
        <v>73.705500742703265</v>
      </c>
      <c r="J8" s="840">
        <f>I8*12</f>
        <v>884.46600891243918</v>
      </c>
      <c r="K8" s="841">
        <f>$F$55</f>
        <v>90.392426110851275</v>
      </c>
      <c r="L8" s="840">
        <f>K8*12</f>
        <v>1084.7091133302154</v>
      </c>
    </row>
    <row r="9" spans="2:15" ht="15.75" customHeight="1">
      <c r="B9" s="237" t="s">
        <v>553</v>
      </c>
      <c r="C9" s="838">
        <f>$G$67</f>
        <v>99.750623441396513</v>
      </c>
      <c r="D9" s="837">
        <f>C9*12</f>
        <v>1197.0074812967582</v>
      </c>
      <c r="E9" s="842">
        <f>$G$68</f>
        <v>203.89027431421445</v>
      </c>
      <c r="F9" s="840">
        <f>E9*12</f>
        <v>2446.6832917705733</v>
      </c>
      <c r="G9" s="839">
        <f>$G$69</f>
        <v>416.75172069825442</v>
      </c>
      <c r="H9" s="840">
        <f>G9*12</f>
        <v>5001.0206483790535</v>
      </c>
      <c r="I9" s="839">
        <f>$G$70</f>
        <v>425.92025855361595</v>
      </c>
      <c r="J9" s="840">
        <f>I9*12</f>
        <v>5111.0431026433916</v>
      </c>
      <c r="K9" s="841">
        <f>$G$71</f>
        <v>652.93575636269327</v>
      </c>
      <c r="L9" s="840">
        <f>K9*12</f>
        <v>7835.2290763523197</v>
      </c>
    </row>
    <row r="10" spans="2:15" ht="15.75" customHeight="1">
      <c r="B10" s="237" t="s">
        <v>839</v>
      </c>
      <c r="C10" s="838">
        <f>$F$43</f>
        <v>1554.8859564757483</v>
      </c>
      <c r="D10" s="837">
        <f>C10*12</f>
        <v>18658.631477708979</v>
      </c>
      <c r="E10" s="842">
        <f>$F$44</f>
        <v>3178.1868950364296</v>
      </c>
      <c r="F10" s="840">
        <f>E10*12</f>
        <v>38138.242740437156</v>
      </c>
      <c r="G10" s="839">
        <f>$F$45</f>
        <v>3248.1070067272317</v>
      </c>
      <c r="H10" s="840">
        <f>G10*12</f>
        <v>38977.284080726778</v>
      </c>
      <c r="I10" s="839">
        <f>$F$46</f>
        <v>3319.5653608752309</v>
      </c>
      <c r="J10" s="840">
        <f>I10*12</f>
        <v>39834.784330502771</v>
      </c>
      <c r="K10" s="841">
        <f>$F$47</f>
        <v>5088.8936982217292</v>
      </c>
      <c r="L10" s="840">
        <f>K10*12</f>
        <v>61066.724378660751</v>
      </c>
    </row>
    <row r="11" spans="2:15" ht="15.75" customHeight="1" thickBot="1">
      <c r="B11" s="237" t="s">
        <v>840</v>
      </c>
      <c r="C11" s="838">
        <f>F35</f>
        <v>1624.4423187882423</v>
      </c>
      <c r="D11" s="837">
        <f>C11*12</f>
        <v>19493.307825458909</v>
      </c>
      <c r="E11" s="838">
        <f>F36</f>
        <v>3320.3600996031673</v>
      </c>
      <c r="F11" s="840">
        <f>E11*12</f>
        <v>39844.321195238008</v>
      </c>
      <c r="G11" s="838">
        <f>F37</f>
        <v>3393.408021794437</v>
      </c>
      <c r="H11" s="840">
        <f>G11*12</f>
        <v>40720.896261533242</v>
      </c>
      <c r="I11" s="838">
        <f>F38</f>
        <v>3468.0629982739147</v>
      </c>
      <c r="J11" s="840">
        <f>I11*12</f>
        <v>41616.755979286972</v>
      </c>
      <c r="K11" s="838">
        <f>F39</f>
        <v>5316.5405763539111</v>
      </c>
      <c r="L11" s="840">
        <f>K11*12</f>
        <v>63798.486916246933</v>
      </c>
    </row>
    <row r="12" spans="2:15" ht="15.75" customHeight="1" thickBot="1">
      <c r="B12" s="236" t="s">
        <v>609</v>
      </c>
      <c r="C12" s="843">
        <f t="shared" ref="C12:L12" si="0">SUM(C7:C11)</f>
        <v>3742.7317665358114</v>
      </c>
      <c r="D12" s="844">
        <f t="shared" si="0"/>
        <v>44912.78119842973</v>
      </c>
      <c r="E12" s="843">
        <f t="shared" si="0"/>
        <v>7190.4037846645351</v>
      </c>
      <c r="F12" s="844">
        <f t="shared" si="0"/>
        <v>86284.845415974414</v>
      </c>
      <c r="G12" s="843">
        <f t="shared" si="0"/>
        <v>8012.3989761725425</v>
      </c>
      <c r="H12" s="844">
        <f t="shared" si="0"/>
        <v>96148.787714070495</v>
      </c>
      <c r="I12" s="843">
        <f t="shared" si="0"/>
        <v>8188.6717536483375</v>
      </c>
      <c r="J12" s="844">
        <f>SUM(J7:J11)</f>
        <v>98264.06104378005</v>
      </c>
      <c r="K12" s="845">
        <f t="shared" si="0"/>
        <v>12070.011280226521</v>
      </c>
      <c r="L12" s="844">
        <f t="shared" si="0"/>
        <v>144840.13536271825</v>
      </c>
    </row>
    <row r="13" spans="2:15" ht="15.75" customHeight="1" thickBot="1">
      <c r="B13" s="119"/>
      <c r="C13" s="211"/>
      <c r="D13" s="222"/>
    </row>
    <row r="14" spans="2:15" ht="15.75" customHeight="1" thickBot="1">
      <c r="B14" s="1320" t="s">
        <v>50</v>
      </c>
      <c r="C14" s="1316" t="s">
        <v>841</v>
      </c>
      <c r="D14" s="1316" t="s">
        <v>842</v>
      </c>
      <c r="E14" s="1317" t="s">
        <v>842</v>
      </c>
    </row>
    <row r="15" spans="2:15" ht="15.75" customHeight="1">
      <c r="B15" s="225">
        <v>2024</v>
      </c>
      <c r="C15" s="217">
        <f>'1.5 - Proyeccion demanda'!D112</f>
        <v>28460.279938539581</v>
      </c>
      <c r="D15" s="848">
        <f>D12/C15</f>
        <v>1.5780864171195639</v>
      </c>
      <c r="E15" s="813">
        <f>SUM(D7:D9)/C15</f>
        <v>0.23755359785153163</v>
      </c>
    </row>
    <row r="16" spans="2:15" ht="15.75" customHeight="1">
      <c r="B16" s="223">
        <v>2025</v>
      </c>
      <c r="C16" s="187">
        <f>'1.5 - Proyeccion demanda'!D113</f>
        <v>119834.76293453228</v>
      </c>
      <c r="D16" s="849">
        <f>F12/C16</f>
        <v>0.72003184470864479</v>
      </c>
      <c r="E16" s="829">
        <f>SUM(F7:F9)/C16</f>
        <v>6.9281077351777506E-2</v>
      </c>
    </row>
    <row r="17" spans="2:5" ht="15.75" customHeight="1">
      <c r="B17" s="223">
        <v>2026</v>
      </c>
      <c r="C17" s="187">
        <f>'1.5 - Proyeccion demanda'!D114</f>
        <v>189131.4571302851</v>
      </c>
      <c r="D17" s="849">
        <f>H12/C17</f>
        <v>0.50837015255393203</v>
      </c>
      <c r="E17" s="829">
        <f>SUM(H7:H9)/C17</f>
        <v>8.6979752714950578E-2</v>
      </c>
    </row>
    <row r="18" spans="2:5" ht="15.75" customHeight="1">
      <c r="B18" s="223">
        <v>2027</v>
      </c>
      <c r="C18" s="187">
        <f>'1.5 - Proyeccion demanda'!D115</f>
        <v>264681.0264783625</v>
      </c>
      <c r="D18" s="849">
        <f>J12/C18</f>
        <v>0.37125464696583782</v>
      </c>
      <c r="E18" s="829">
        <f>SUM(J7:J9)/C18</f>
        <v>6.3519931737021279E-2</v>
      </c>
    </row>
    <row r="19" spans="2:5" ht="15.75" customHeight="1" thickBot="1">
      <c r="B19" s="224">
        <v>2028</v>
      </c>
      <c r="C19" s="218">
        <f>'1.5 - Proyeccion demanda'!D116</f>
        <v>346483.47097876424</v>
      </c>
      <c r="D19" s="850">
        <f>L12/C19</f>
        <v>0.41802898982039871</v>
      </c>
      <c r="E19" s="831">
        <f>SUM(L7:L9)/C19</f>
        <v>5.7650438594904339E-2</v>
      </c>
    </row>
    <row r="20" spans="2:5" ht="15.75" customHeight="1" thickBot="1">
      <c r="B20" s="121"/>
      <c r="C20" s="185"/>
    </row>
    <row r="21" spans="2:5" ht="15.75" customHeight="1" thickBot="1">
      <c r="B21" s="851" t="s">
        <v>780</v>
      </c>
      <c r="C21" s="852" t="s">
        <v>843</v>
      </c>
      <c r="D21" s="853" t="s">
        <v>609</v>
      </c>
    </row>
    <row r="22" spans="2:5" ht="15.75" customHeight="1">
      <c r="B22" s="1668">
        <v>2024</v>
      </c>
      <c r="C22" s="856" t="s">
        <v>835</v>
      </c>
      <c r="D22" s="857">
        <f>C12</f>
        <v>3742.7317665358114</v>
      </c>
    </row>
    <row r="23" spans="2:5" ht="15.75" customHeight="1" thickBot="1">
      <c r="B23" s="1669"/>
      <c r="C23" s="298" t="s">
        <v>836</v>
      </c>
      <c r="D23" s="299">
        <f>D12</f>
        <v>44912.78119842973</v>
      </c>
    </row>
    <row r="24" spans="2:5" ht="15.75" customHeight="1">
      <c r="B24" s="1668">
        <v>2025</v>
      </c>
      <c r="C24" s="856" t="s">
        <v>835</v>
      </c>
      <c r="D24" s="857">
        <f>E12</f>
        <v>7190.4037846645351</v>
      </c>
    </row>
    <row r="25" spans="2:5" ht="15.75" customHeight="1" thickBot="1">
      <c r="B25" s="1669"/>
      <c r="C25" s="298" t="s">
        <v>836</v>
      </c>
      <c r="D25" s="299">
        <f>F12</f>
        <v>86284.845415974414</v>
      </c>
    </row>
    <row r="26" spans="2:5" ht="15.75" customHeight="1">
      <c r="B26" s="1668">
        <v>2026</v>
      </c>
      <c r="C26" s="856" t="s">
        <v>835</v>
      </c>
      <c r="D26" s="857">
        <f>G12</f>
        <v>8012.3989761725425</v>
      </c>
    </row>
    <row r="27" spans="2:5" ht="15.75" customHeight="1" thickBot="1">
      <c r="B27" s="1669"/>
      <c r="C27" s="298" t="s">
        <v>836</v>
      </c>
      <c r="D27" s="299">
        <f>H12</f>
        <v>96148.787714070495</v>
      </c>
    </row>
    <row r="28" spans="2:5" ht="15.75" customHeight="1">
      <c r="B28" s="1668">
        <v>2027</v>
      </c>
      <c r="C28" s="856" t="s">
        <v>835</v>
      </c>
      <c r="D28" s="857">
        <f>I12</f>
        <v>8188.6717536483375</v>
      </c>
    </row>
    <row r="29" spans="2:5" ht="15.75" customHeight="1" thickBot="1">
      <c r="B29" s="1669"/>
      <c r="C29" s="298" t="s">
        <v>836</v>
      </c>
      <c r="D29" s="299">
        <f>J12</f>
        <v>98264.06104378005</v>
      </c>
    </row>
    <row r="30" spans="2:5" ht="15.75" customHeight="1">
      <c r="B30" s="1670">
        <v>2028</v>
      </c>
      <c r="C30" s="854" t="s">
        <v>835</v>
      </c>
      <c r="D30" s="855">
        <f>K12</f>
        <v>12070.011280226521</v>
      </c>
    </row>
    <row r="31" spans="2:5" ht="15.75" customHeight="1" thickBot="1">
      <c r="B31" s="1669"/>
      <c r="C31" s="298" t="s">
        <v>836</v>
      </c>
      <c r="D31" s="299">
        <f>L12</f>
        <v>144840.13536271825</v>
      </c>
    </row>
    <row r="32" spans="2:5" ht="15.75" customHeight="1" thickBot="1"/>
    <row r="33" spans="2:9" ht="15.75" customHeight="1" thickBot="1">
      <c r="B33" s="1653" t="s">
        <v>844</v>
      </c>
      <c r="C33" s="1654"/>
      <c r="D33" s="1654"/>
      <c r="E33" s="1654"/>
      <c r="F33" s="1655"/>
    </row>
    <row r="34" spans="2:9" ht="43.15">
      <c r="B34" s="1332" t="s">
        <v>50</v>
      </c>
      <c r="C34" s="1327" t="s">
        <v>227</v>
      </c>
      <c r="D34" s="1327" t="s">
        <v>845</v>
      </c>
      <c r="E34" s="1327" t="s">
        <v>846</v>
      </c>
      <c r="F34" s="1336" t="s">
        <v>847</v>
      </c>
    </row>
    <row r="35" spans="2:9" ht="15.75" customHeight="1">
      <c r="B35" s="182">
        <v>2024</v>
      </c>
      <c r="C35" s="1360">
        <f>'3.5 - Personal requerido'!E27</f>
        <v>1</v>
      </c>
      <c r="D35" s="487">
        <f>'3.7 - Costos MOD'!E66/12</f>
        <v>1628503.424585213</v>
      </c>
      <c r="E35" s="487">
        <f>D35/$O$4</f>
        <v>1624.4423187882423</v>
      </c>
      <c r="F35" s="235">
        <f>E35*C35</f>
        <v>1624.4423187882423</v>
      </c>
    </row>
    <row r="36" spans="2:9" ht="15.75" customHeight="1">
      <c r="B36" s="182">
        <v>2025</v>
      </c>
      <c r="C36" s="1360">
        <f>'3.5 - Personal requerido'!E28</f>
        <v>2</v>
      </c>
      <c r="D36" s="487">
        <f>D35*(1+$O$5)</f>
        <v>1664330.4999260877</v>
      </c>
      <c r="E36" s="487">
        <f>D36/$O$4</f>
        <v>1660.1800498015837</v>
      </c>
      <c r="F36" s="235">
        <f>E36*C36</f>
        <v>3320.3600996031673</v>
      </c>
    </row>
    <row r="37" spans="2:9" ht="15.6" customHeight="1">
      <c r="B37" s="182">
        <v>2026</v>
      </c>
      <c r="C37" s="1360">
        <f>'3.5 - Personal requerido'!E29</f>
        <v>2</v>
      </c>
      <c r="D37" s="487">
        <f>D36*(1+$O$5)</f>
        <v>1700945.7709244615</v>
      </c>
      <c r="E37" s="487">
        <f>D37/$O$4</f>
        <v>1696.7040108972185</v>
      </c>
      <c r="F37" s="235">
        <f>E37*C37</f>
        <v>3393.408021794437</v>
      </c>
    </row>
    <row r="38" spans="2:9" ht="15.75" customHeight="1">
      <c r="B38" s="182">
        <v>2027</v>
      </c>
      <c r="C38" s="1360">
        <f>'3.5 - Personal requerido'!E30</f>
        <v>2</v>
      </c>
      <c r="D38" s="487">
        <f>D37*(1+$O$5)</f>
        <v>1738366.5778847998</v>
      </c>
      <c r="E38" s="487">
        <f>D38/$O$4</f>
        <v>1734.0314991369573</v>
      </c>
      <c r="F38" s="235">
        <f>E38*C38</f>
        <v>3468.0629982739147</v>
      </c>
    </row>
    <row r="39" spans="2:9" ht="15.75" customHeight="1" thickBot="1">
      <c r="B39" s="183">
        <v>2028</v>
      </c>
      <c r="C39" s="1367">
        <f>'3.5 - Personal requerido'!E31</f>
        <v>3</v>
      </c>
      <c r="D39" s="243">
        <f>D38*(1+$O$5)</f>
        <v>1776610.6425982653</v>
      </c>
      <c r="E39" s="243">
        <f>D39/$O$4</f>
        <v>1772.1801921179704</v>
      </c>
      <c r="F39" s="246">
        <f>E39*C39</f>
        <v>5316.5405763539111</v>
      </c>
    </row>
    <row r="40" spans="2:9" ht="15.75" customHeight="1" thickBot="1"/>
    <row r="41" spans="2:9" ht="15.75" customHeight="1" thickBot="1">
      <c r="B41" s="1653" t="s">
        <v>848</v>
      </c>
      <c r="C41" s="1654"/>
      <c r="D41" s="1654"/>
      <c r="E41" s="1654"/>
      <c r="F41" s="1655"/>
    </row>
    <row r="42" spans="2:9" ht="43.15">
      <c r="B42" s="1332" t="s">
        <v>50</v>
      </c>
      <c r="C42" s="1327" t="s">
        <v>227</v>
      </c>
      <c r="D42" s="1327" t="s">
        <v>845</v>
      </c>
      <c r="E42" s="1327" t="s">
        <v>846</v>
      </c>
      <c r="F42" s="1336" t="s">
        <v>847</v>
      </c>
    </row>
    <row r="43" spans="2:9" ht="15.75" customHeight="1">
      <c r="B43" s="182">
        <v>2024</v>
      </c>
      <c r="C43" s="1360">
        <f>'3.5 - Personal requerido'!D27</f>
        <v>1</v>
      </c>
      <c r="D43" s="487">
        <f>'3.7 - Costos MOD'!E65/12</f>
        <v>1558773.1713669377</v>
      </c>
      <c r="E43" s="487">
        <f>D43/$O$4</f>
        <v>1554.8859564757483</v>
      </c>
      <c r="F43" s="235">
        <f>E43*C43</f>
        <v>1554.8859564757483</v>
      </c>
    </row>
    <row r="44" spans="2:9" ht="15.75" customHeight="1">
      <c r="B44" s="182">
        <v>2025</v>
      </c>
      <c r="C44" s="1360">
        <f>'3.5 - Personal requerido'!D28</f>
        <v>2</v>
      </c>
      <c r="D44" s="487">
        <f>D43*(1+$O$5)</f>
        <v>1593066.1811370105</v>
      </c>
      <c r="E44" s="487">
        <f>D44/$O$4</f>
        <v>1589.0934475182148</v>
      </c>
      <c r="F44" s="235">
        <f>E44*C44</f>
        <v>3178.1868950364296</v>
      </c>
      <c r="I44" s="194"/>
    </row>
    <row r="45" spans="2:9" ht="15.75" customHeight="1">
      <c r="B45" s="182">
        <v>2026</v>
      </c>
      <c r="C45" s="1360">
        <f>'3.5 - Personal requerido'!D29</f>
        <v>2</v>
      </c>
      <c r="D45" s="487">
        <f>D44*(1+$O$5)</f>
        <v>1628113.6371220248</v>
      </c>
      <c r="E45" s="487">
        <f>D45/$O$4</f>
        <v>1624.0535033636158</v>
      </c>
      <c r="F45" s="235">
        <f>E45*C45</f>
        <v>3248.1070067272317</v>
      </c>
    </row>
    <row r="46" spans="2:9" ht="15.75" customHeight="1">
      <c r="B46" s="182">
        <v>2027</v>
      </c>
      <c r="C46" s="1360">
        <f>'3.5 - Personal requerido'!D30</f>
        <v>2</v>
      </c>
      <c r="D46" s="487">
        <f>D45*(1+$O$5)</f>
        <v>1663932.1371387094</v>
      </c>
      <c r="E46" s="487">
        <f>D46/$O$4</f>
        <v>1659.7826804376155</v>
      </c>
      <c r="F46" s="235">
        <f>E46*C46</f>
        <v>3319.5653608752309</v>
      </c>
    </row>
    <row r="47" spans="2:9" ht="15.75" customHeight="1" thickBot="1">
      <c r="B47" s="183">
        <v>2028</v>
      </c>
      <c r="C47" s="1367">
        <f>'3.5 - Personal requerido'!D31</f>
        <v>3</v>
      </c>
      <c r="D47" s="243">
        <f>D46*(1+$O$5)</f>
        <v>1700538.644155761</v>
      </c>
      <c r="E47" s="243">
        <f>D47/$O$4</f>
        <v>1696.297899407243</v>
      </c>
      <c r="F47" s="246">
        <f>E47*C47</f>
        <v>5088.8936982217292</v>
      </c>
    </row>
    <row r="48" spans="2:9" ht="15.75" customHeight="1" thickBot="1"/>
    <row r="49" spans="2:6" ht="15.75" customHeight="1" thickBot="1">
      <c r="B49" s="1653" t="s">
        <v>849</v>
      </c>
      <c r="C49" s="1654"/>
      <c r="D49" s="1654"/>
      <c r="E49" s="1654"/>
      <c r="F49" s="1655"/>
    </row>
    <row r="50" spans="2:6" ht="43.15">
      <c r="B50" s="1332" t="s">
        <v>50</v>
      </c>
      <c r="C50" s="1327" t="s">
        <v>850</v>
      </c>
      <c r="D50" s="1327" t="s">
        <v>851</v>
      </c>
      <c r="E50" s="1327" t="s">
        <v>852</v>
      </c>
      <c r="F50" s="1336" t="s">
        <v>847</v>
      </c>
    </row>
    <row r="51" spans="2:6" ht="15.75" customHeight="1">
      <c r="B51" s="182">
        <v>2024</v>
      </c>
      <c r="C51" s="1360">
        <v>12</v>
      </c>
      <c r="D51" s="487">
        <v>3461</v>
      </c>
      <c r="E51" s="487">
        <f>D51*C51</f>
        <v>41532</v>
      </c>
      <c r="F51" s="235">
        <f>E51/$O$4</f>
        <v>41.428428927680798</v>
      </c>
    </row>
    <row r="52" spans="2:6" ht="15.75" customHeight="1">
      <c r="B52" s="182">
        <v>2025</v>
      </c>
      <c r="C52" s="1360">
        <v>16</v>
      </c>
      <c r="D52" s="487">
        <f>D51*(1+$O$5)</f>
        <v>3537.1420000000003</v>
      </c>
      <c r="E52" s="487">
        <f>D52*C52</f>
        <v>56594.272000000004</v>
      </c>
      <c r="F52" s="235">
        <f>E52/$O$4</f>
        <v>56.453139152119704</v>
      </c>
    </row>
    <row r="53" spans="2:6" ht="15.75" customHeight="1">
      <c r="B53" s="182">
        <v>2026</v>
      </c>
      <c r="C53" s="1360">
        <v>20</v>
      </c>
      <c r="D53" s="487">
        <f>D52*(1+$O$5)</f>
        <v>3614.9591240000004</v>
      </c>
      <c r="E53" s="487">
        <f>D53*C53</f>
        <v>72299.182480000003</v>
      </c>
      <c r="F53" s="235">
        <f>E53/$O$4</f>
        <v>72.118885266832919</v>
      </c>
    </row>
    <row r="54" spans="2:6" ht="15.75" customHeight="1">
      <c r="B54" s="182">
        <v>2027</v>
      </c>
      <c r="C54" s="1360">
        <v>20</v>
      </c>
      <c r="D54" s="487">
        <f>D53*(1+$O$5)</f>
        <v>3694.4882247280007</v>
      </c>
      <c r="E54" s="487">
        <f>D54*C54</f>
        <v>73889.764494560019</v>
      </c>
      <c r="F54" s="235">
        <f>E54/$O$4</f>
        <v>73.705500742703265</v>
      </c>
    </row>
    <row r="55" spans="2:6" ht="15.75" customHeight="1" thickBot="1">
      <c r="B55" s="183">
        <v>2028</v>
      </c>
      <c r="C55" s="1367">
        <v>24</v>
      </c>
      <c r="D55" s="243">
        <f>D54*(1+$O$5)</f>
        <v>3775.7669656720168</v>
      </c>
      <c r="E55" s="243">
        <f>D55*C55</f>
        <v>90618.407176128399</v>
      </c>
      <c r="F55" s="246">
        <f>E55/$O$4</f>
        <v>90.392426110851275</v>
      </c>
    </row>
    <row r="56" spans="2:6" ht="15.75" customHeight="1" thickBot="1"/>
    <row r="57" spans="2:6" ht="15.75" customHeight="1" thickBot="1">
      <c r="B57" s="1653" t="s">
        <v>853</v>
      </c>
      <c r="C57" s="1654"/>
      <c r="D57" s="1654"/>
      <c r="E57" s="1654"/>
      <c r="F57" s="1655"/>
    </row>
    <row r="58" spans="2:6" ht="43.15">
      <c r="B58" s="1332" t="s">
        <v>50</v>
      </c>
      <c r="C58" s="1327" t="s">
        <v>854</v>
      </c>
      <c r="D58" s="1327" t="s">
        <v>855</v>
      </c>
      <c r="E58" s="1327" t="s">
        <v>852</v>
      </c>
      <c r="F58" s="1336" t="s">
        <v>847</v>
      </c>
    </row>
    <row r="59" spans="2:6" ht="15.75" customHeight="1">
      <c r="B59" s="182">
        <v>2024</v>
      </c>
      <c r="C59" s="1360">
        <v>37</v>
      </c>
      <c r="D59" s="487">
        <f>11440</f>
        <v>11440</v>
      </c>
      <c r="E59" s="487">
        <f>D59*C59</f>
        <v>423280</v>
      </c>
      <c r="F59" s="235">
        <f>E59/$O$4</f>
        <v>422.22443890274315</v>
      </c>
    </row>
    <row r="60" spans="2:6" ht="15.75" customHeight="1">
      <c r="B60" s="182">
        <v>2025</v>
      </c>
      <c r="C60" s="1360">
        <v>37</v>
      </c>
      <c r="D60" s="487">
        <f>D59*(1+$O$5)</f>
        <v>11691.68</v>
      </c>
      <c r="E60" s="487">
        <f>D60*C60</f>
        <v>432592.16000000003</v>
      </c>
      <c r="F60" s="235">
        <f>E60/$O$4</f>
        <v>431.51337655860351</v>
      </c>
    </row>
    <row r="61" spans="2:6" ht="15.75" customHeight="1">
      <c r="B61" s="182">
        <v>2026</v>
      </c>
      <c r="C61" s="1360">
        <v>74</v>
      </c>
      <c r="D61" s="487">
        <f>D60*(1+$O$5)</f>
        <v>11948.89696</v>
      </c>
      <c r="E61" s="487">
        <f>D61*C61</f>
        <v>884218.37503999996</v>
      </c>
      <c r="F61" s="235">
        <f>E61/$O$4</f>
        <v>882.01334168578546</v>
      </c>
    </row>
    <row r="62" spans="2:6" ht="15.75" customHeight="1">
      <c r="B62" s="182">
        <v>2027</v>
      </c>
      <c r="C62" s="1360">
        <v>74</v>
      </c>
      <c r="D62" s="487">
        <f>D61*(1+$O$5)</f>
        <v>12211.77269312</v>
      </c>
      <c r="E62" s="487">
        <f>D62*C62</f>
        <v>903671.17929087998</v>
      </c>
      <c r="F62" s="235">
        <f>E62/$O$4</f>
        <v>901.41763520287282</v>
      </c>
    </row>
    <row r="63" spans="2:6" ht="15.75" customHeight="1" thickBot="1">
      <c r="B63" s="183">
        <v>2028</v>
      </c>
      <c r="C63" s="1367">
        <v>74</v>
      </c>
      <c r="D63" s="243">
        <f>D62*(1+$O$5)</f>
        <v>12480.43169236864</v>
      </c>
      <c r="E63" s="243">
        <f>D63*C63</f>
        <v>923551.94523527939</v>
      </c>
      <c r="F63" s="246">
        <f>E63/$O$4</f>
        <v>921.24882317733602</v>
      </c>
    </row>
    <row r="64" spans="2:6" ht="15.75" customHeight="1" thickBot="1"/>
    <row r="65" spans="2:7" ht="15.75" customHeight="1" thickBot="1">
      <c r="B65" s="1661" t="s">
        <v>856</v>
      </c>
      <c r="C65" s="1662"/>
      <c r="D65" s="1662"/>
      <c r="E65" s="1662"/>
      <c r="F65" s="1662"/>
      <c r="G65" s="1663"/>
    </row>
    <row r="66" spans="2:7" ht="43.15">
      <c r="B66" s="1332" t="s">
        <v>50</v>
      </c>
      <c r="C66" s="1327" t="s">
        <v>857</v>
      </c>
      <c r="D66" s="1327" t="s">
        <v>858</v>
      </c>
      <c r="E66" s="1327" t="s">
        <v>859</v>
      </c>
      <c r="F66" s="1327" t="s">
        <v>860</v>
      </c>
      <c r="G66" s="1336" t="s">
        <v>847</v>
      </c>
    </row>
    <row r="67" spans="2:7" ht="15.75" customHeight="1">
      <c r="B67" s="182">
        <v>2024</v>
      </c>
      <c r="C67" s="193">
        <v>100000</v>
      </c>
      <c r="D67" s="1360">
        <f>'3.4 - Plan de fabricacion'!BS14</f>
        <v>1</v>
      </c>
      <c r="E67" s="1360">
        <f>'3.4 - Plan de fabricacion'!BR14</f>
        <v>1</v>
      </c>
      <c r="F67" s="835">
        <f>C67*D67*E67</f>
        <v>100000</v>
      </c>
      <c r="G67" s="235">
        <f>F67/$O$4</f>
        <v>99.750623441396513</v>
      </c>
    </row>
    <row r="68" spans="2:7" ht="15.75" customHeight="1">
      <c r="B68" s="182">
        <v>2025</v>
      </c>
      <c r="C68" s="487">
        <f>C67*(1+$O$5)</f>
        <v>102200</v>
      </c>
      <c r="D68" s="1360">
        <f>'3.4 - Plan de fabricacion'!BS15</f>
        <v>1</v>
      </c>
      <c r="E68" s="1360">
        <f>'3.4 - Plan de fabricacion'!BR15</f>
        <v>2</v>
      </c>
      <c r="F68" s="835">
        <f>C68*D68*E68</f>
        <v>204400</v>
      </c>
      <c r="G68" s="235">
        <f>F68/$O$4</f>
        <v>203.89027431421445</v>
      </c>
    </row>
    <row r="69" spans="2:7" ht="15.75" customHeight="1">
      <c r="B69" s="182">
        <v>2026</v>
      </c>
      <c r="C69" s="487">
        <f>C68*(1+$O$5)</f>
        <v>104448.40000000001</v>
      </c>
      <c r="D69" s="1360">
        <f>'3.4 - Plan de fabricacion'!BS16</f>
        <v>2</v>
      </c>
      <c r="E69" s="1360">
        <f>'3.4 - Plan de fabricacion'!BR16</f>
        <v>2</v>
      </c>
      <c r="F69" s="835">
        <f>C69*D69*E69</f>
        <v>417793.60000000003</v>
      </c>
      <c r="G69" s="235">
        <f>F69/$O$4</f>
        <v>416.75172069825442</v>
      </c>
    </row>
    <row r="70" spans="2:7" ht="15.75" customHeight="1">
      <c r="B70" s="182">
        <v>2027</v>
      </c>
      <c r="C70" s="487">
        <f>C69*(1+$O$5)</f>
        <v>106746.2648</v>
      </c>
      <c r="D70" s="1360">
        <f>'3.4 - Plan de fabricacion'!BS17</f>
        <v>2</v>
      </c>
      <c r="E70" s="1360">
        <f>'3.4 - Plan de fabricacion'!BR17</f>
        <v>2</v>
      </c>
      <c r="F70" s="835">
        <f>C70*D70*E70</f>
        <v>426985.05920000002</v>
      </c>
      <c r="G70" s="235">
        <f>F70/$O$4</f>
        <v>425.92025855361595</v>
      </c>
    </row>
    <row r="71" spans="2:7" ht="15.75" customHeight="1" thickBot="1">
      <c r="B71" s="183">
        <v>2028</v>
      </c>
      <c r="C71" s="243">
        <f>C70*(1+$O$5)</f>
        <v>109094.68262560001</v>
      </c>
      <c r="D71" s="1367">
        <f>'3.4 - Plan de fabricacion'!BS18</f>
        <v>2</v>
      </c>
      <c r="E71" s="1367">
        <f>'3.4 - Plan de fabricacion'!BR18</f>
        <v>3</v>
      </c>
      <c r="F71" s="820">
        <f>C71*D71*E71</f>
        <v>654568.09575360001</v>
      </c>
      <c r="G71" s="246">
        <f>F71/$O$4</f>
        <v>652.93575636269327</v>
      </c>
    </row>
    <row r="72" spans="2:7" ht="15.75" customHeight="1"/>
    <row r="73" spans="2:7" ht="15.75" customHeight="1"/>
    <row r="74" spans="2:7" ht="15.75" customHeight="1"/>
    <row r="75" spans="2:7" ht="15.75" customHeight="1"/>
    <row r="76" spans="2:7" ht="15.75" customHeight="1"/>
    <row r="77" spans="2:7" ht="15.75" customHeight="1"/>
    <row r="78" spans="2:7" ht="15.75" customHeight="1"/>
    <row r="79" spans="2:7" ht="15.75" customHeight="1"/>
    <row r="80" spans="2:7"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sheetData>
  <mergeCells count="16">
    <mergeCell ref="B65:G65"/>
    <mergeCell ref="B33:F33"/>
    <mergeCell ref="B41:F41"/>
    <mergeCell ref="B49:F49"/>
    <mergeCell ref="B57:F57"/>
    <mergeCell ref="I5:J5"/>
    <mergeCell ref="K5:L5"/>
    <mergeCell ref="B4:L4"/>
    <mergeCell ref="C5:D5"/>
    <mergeCell ref="E5:F5"/>
    <mergeCell ref="G5:H5"/>
    <mergeCell ref="B22:B23"/>
    <mergeCell ref="B24:B25"/>
    <mergeCell ref="B26:B27"/>
    <mergeCell ref="B28:B29"/>
    <mergeCell ref="B30:B31"/>
  </mergeCells>
  <phoneticPr fontId="26" type="noConversion"/>
  <hyperlinks>
    <hyperlink ref="C2" location="Indice!A1" display="INDICE" xr:uid="{00000000-0004-0000-1500-000000000000}"/>
  </hyperlink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92D050"/>
  </sheetPr>
  <dimension ref="B2:G32"/>
  <sheetViews>
    <sheetView showGridLines="0" zoomScale="80" zoomScaleNormal="80" workbookViewId="0">
      <selection activeCell="G18" sqref="G18"/>
    </sheetView>
  </sheetViews>
  <sheetFormatPr defaultColWidth="11.5703125" defaultRowHeight="14.45"/>
  <cols>
    <col min="1" max="1" width="4.5703125" customWidth="1"/>
    <col min="2" max="2" width="7.28515625" customWidth="1"/>
    <col min="3" max="3" width="20.28515625" customWidth="1"/>
    <col min="4" max="4" width="20.140625" bestFit="1" customWidth="1"/>
    <col min="5" max="5" width="7.7109375" customWidth="1"/>
    <col min="7" max="7" width="27" customWidth="1"/>
  </cols>
  <sheetData>
    <row r="2" spans="2:7">
      <c r="B2" s="1384" t="s">
        <v>126</v>
      </c>
      <c r="C2" s="1384"/>
      <c r="D2" s="337" t="s">
        <v>49</v>
      </c>
    </row>
    <row r="3" spans="2:7" ht="15" thickBot="1"/>
    <row r="4" spans="2:7" ht="15" thickBot="1">
      <c r="B4" s="1676">
        <v>2024</v>
      </c>
      <c r="C4" s="1679" t="s">
        <v>861</v>
      </c>
      <c r="D4" s="1437"/>
      <c r="F4" s="249" t="s">
        <v>50</v>
      </c>
      <c r="G4" s="250" t="s">
        <v>862</v>
      </c>
    </row>
    <row r="5" spans="2:7">
      <c r="B5" s="1677"/>
      <c r="C5" s="130" t="s">
        <v>863</v>
      </c>
      <c r="D5" s="813">
        <f>'3.6 - Costos MP'!$C$38</f>
        <v>5.2198648416888815</v>
      </c>
      <c r="F5" s="261">
        <v>2024</v>
      </c>
      <c r="G5" s="813">
        <f>D8</f>
        <v>7.0471317005513532</v>
      </c>
    </row>
    <row r="6" spans="2:7">
      <c r="B6" s="1677"/>
      <c r="C6" s="51" t="s">
        <v>864</v>
      </c>
      <c r="D6" s="829">
        <f>'3.7 - Costos MOD'!$C$58</f>
        <v>0.2491804417429084</v>
      </c>
      <c r="F6" s="1359">
        <v>2025</v>
      </c>
      <c r="G6" s="829">
        <f>D14</f>
        <v>6.309396124375934</v>
      </c>
    </row>
    <row r="7" spans="2:7">
      <c r="B7" s="1677"/>
      <c r="C7" s="51" t="s">
        <v>865</v>
      </c>
      <c r="D7" s="829">
        <f>'3.8 - Costos CCP '!$D$15</f>
        <v>1.5780864171195639</v>
      </c>
      <c r="F7" s="1359">
        <v>2026</v>
      </c>
      <c r="G7" s="829">
        <f>D20</f>
        <v>6.2207004463739022</v>
      </c>
    </row>
    <row r="8" spans="2:7" ht="15" thickBot="1">
      <c r="B8" s="1678"/>
      <c r="C8" s="100" t="s">
        <v>866</v>
      </c>
      <c r="D8" s="830">
        <f>SUM(D5:D7)</f>
        <v>7.0471317005513532</v>
      </c>
      <c r="F8" s="1359">
        <v>2027</v>
      </c>
      <c r="G8" s="829">
        <f>D26</f>
        <v>6.2092562072498474</v>
      </c>
    </row>
    <row r="9" spans="2:7" ht="15" thickBot="1">
      <c r="B9" s="162"/>
      <c r="F9" s="1366">
        <v>2028</v>
      </c>
      <c r="G9" s="831">
        <f>D32</f>
        <v>6.3844665844306556</v>
      </c>
    </row>
    <row r="10" spans="2:7" ht="15" thickBot="1">
      <c r="B10" s="1676">
        <v>2025</v>
      </c>
      <c r="C10" s="1679" t="s">
        <v>861</v>
      </c>
      <c r="D10" s="1437"/>
    </row>
    <row r="11" spans="2:7">
      <c r="B11" s="1677"/>
      <c r="C11" s="130" t="s">
        <v>863</v>
      </c>
      <c r="D11" s="813">
        <f>'3.6 - Costos MP'!$C$39</f>
        <v>5.3347018682060368</v>
      </c>
    </row>
    <row r="12" spans="2:7">
      <c r="B12" s="1677"/>
      <c r="C12" s="51" t="s">
        <v>864</v>
      </c>
      <c r="D12" s="829">
        <f>'3.7 - Costos MOD'!$C$59</f>
        <v>0.2546624114612524</v>
      </c>
    </row>
    <row r="13" spans="2:7">
      <c r="B13" s="1677"/>
      <c r="C13" s="51" t="s">
        <v>865</v>
      </c>
      <c r="D13" s="829">
        <f>'3.8 - Costos CCP '!$D$16</f>
        <v>0.72003184470864479</v>
      </c>
    </row>
    <row r="14" spans="2:7" ht="15" thickBot="1">
      <c r="B14" s="1678"/>
      <c r="C14" s="100" t="s">
        <v>866</v>
      </c>
      <c r="D14" s="830">
        <f>SUM(D11:D13)</f>
        <v>6.309396124375934</v>
      </c>
    </row>
    <row r="15" spans="2:7" ht="15" thickBot="1">
      <c r="B15" s="162"/>
    </row>
    <row r="16" spans="2:7" ht="15" thickBot="1">
      <c r="B16" s="1676">
        <v>2026</v>
      </c>
      <c r="C16" s="1679" t="s">
        <v>861</v>
      </c>
      <c r="D16" s="1437"/>
    </row>
    <row r="17" spans="2:4">
      <c r="B17" s="1677"/>
      <c r="C17" s="130" t="s">
        <v>863</v>
      </c>
      <c r="D17" s="813">
        <f>'3.6 - Costos MP'!$C$40</f>
        <v>5.4520653093065699</v>
      </c>
    </row>
    <row r="18" spans="2:4">
      <c r="B18" s="1677"/>
      <c r="C18" s="51" t="s">
        <v>864</v>
      </c>
      <c r="D18" s="829">
        <f>'3.7 - Costos MOD'!$C$60</f>
        <v>0.26026498451339997</v>
      </c>
    </row>
    <row r="19" spans="2:4">
      <c r="B19" s="1677"/>
      <c r="C19" s="51" t="s">
        <v>865</v>
      </c>
      <c r="D19" s="829">
        <f>'3.8 - Costos CCP '!$D$17</f>
        <v>0.50837015255393203</v>
      </c>
    </row>
    <row r="20" spans="2:4" ht="15" thickBot="1">
      <c r="B20" s="1678"/>
      <c r="C20" s="100" t="s">
        <v>866</v>
      </c>
      <c r="D20" s="830">
        <f>SUM(D17:D19)</f>
        <v>6.2207004463739022</v>
      </c>
    </row>
    <row r="21" spans="2:4" ht="15" thickBot="1">
      <c r="B21" s="162"/>
    </row>
    <row r="22" spans="2:4" ht="15" thickBot="1">
      <c r="B22" s="1676">
        <v>2027</v>
      </c>
      <c r="C22" s="1679" t="s">
        <v>861</v>
      </c>
      <c r="D22" s="1437"/>
    </row>
    <row r="23" spans="2:4">
      <c r="B23" s="1677"/>
      <c r="C23" s="130" t="s">
        <v>863</v>
      </c>
      <c r="D23" s="813">
        <f>'3.6 - Costos MP'!$C$41</f>
        <v>5.5720107461113146</v>
      </c>
    </row>
    <row r="24" spans="2:4">
      <c r="B24" s="1677"/>
      <c r="C24" s="51" t="s">
        <v>864</v>
      </c>
      <c r="D24" s="829">
        <f>'3.7 - Costos MOD'!$C$61</f>
        <v>0.26599081417269477</v>
      </c>
    </row>
    <row r="25" spans="2:4">
      <c r="B25" s="1677"/>
      <c r="C25" s="51" t="s">
        <v>865</v>
      </c>
      <c r="D25" s="829">
        <f>'3.8 - Costos CCP '!$D$18</f>
        <v>0.37125464696583782</v>
      </c>
    </row>
    <row r="26" spans="2:4" ht="15" thickBot="1">
      <c r="B26" s="1678"/>
      <c r="C26" s="100" t="s">
        <v>866</v>
      </c>
      <c r="D26" s="830">
        <f>SUM(D23:D25)</f>
        <v>6.2092562072498474</v>
      </c>
    </row>
    <row r="27" spans="2:4" ht="15" thickBot="1">
      <c r="B27" s="162"/>
    </row>
    <row r="28" spans="2:4" ht="15" thickBot="1">
      <c r="B28" s="1676">
        <v>2028</v>
      </c>
      <c r="C28" s="1679" t="s">
        <v>861</v>
      </c>
      <c r="D28" s="1437"/>
    </row>
    <row r="29" spans="2:4">
      <c r="B29" s="1677"/>
      <c r="C29" s="130" t="s">
        <v>863</v>
      </c>
      <c r="D29" s="813">
        <f>'3.6 - Costos MP'!$C$42</f>
        <v>5.6945949825257633</v>
      </c>
    </row>
    <row r="30" spans="2:4">
      <c r="B30" s="1677"/>
      <c r="C30" s="51" t="s">
        <v>864</v>
      </c>
      <c r="D30" s="829">
        <f>'3.7 - Costos MOD'!$C$62</f>
        <v>0.27184261208449406</v>
      </c>
    </row>
    <row r="31" spans="2:4">
      <c r="B31" s="1677"/>
      <c r="C31" s="51" t="s">
        <v>865</v>
      </c>
      <c r="D31" s="829">
        <f>'3.8 - Costos CCP '!$D$19</f>
        <v>0.41802898982039871</v>
      </c>
    </row>
    <row r="32" spans="2:4" ht="15" thickBot="1">
      <c r="B32" s="1678"/>
      <c r="C32" s="100" t="s">
        <v>866</v>
      </c>
      <c r="D32" s="830">
        <f>SUM(D29:D31)</f>
        <v>6.3844665844306556</v>
      </c>
    </row>
  </sheetData>
  <mergeCells count="11">
    <mergeCell ref="B2:C2"/>
    <mergeCell ref="B28:B32"/>
    <mergeCell ref="C28:D28"/>
    <mergeCell ref="C16:D16"/>
    <mergeCell ref="B16:B20"/>
    <mergeCell ref="C4:D4"/>
    <mergeCell ref="B4:B8"/>
    <mergeCell ref="C10:D10"/>
    <mergeCell ref="B10:B14"/>
    <mergeCell ref="B22:B26"/>
    <mergeCell ref="C22:D22"/>
  </mergeCells>
  <hyperlinks>
    <hyperlink ref="D2" location="Indice!A1" display="INDICE" xr:uid="{00000000-0004-0000-1600-000000000000}"/>
  </hyperlink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92D050"/>
  </sheetPr>
  <dimension ref="A2:AO192"/>
  <sheetViews>
    <sheetView showGridLines="0" topLeftCell="A42" zoomScale="80" zoomScaleNormal="80" workbookViewId="0">
      <selection activeCell="M17" sqref="M17"/>
    </sheetView>
  </sheetViews>
  <sheetFormatPr defaultColWidth="11.5703125" defaultRowHeight="14.45"/>
  <cols>
    <col min="1" max="1" width="7.5703125" customWidth="1"/>
    <col min="2" max="2" width="32" customWidth="1"/>
    <col min="3" max="3" width="16.28515625" bestFit="1" customWidth="1"/>
    <col min="4" max="4" width="24.28515625" bestFit="1" customWidth="1"/>
    <col min="5" max="5" width="20" customWidth="1"/>
    <col min="6" max="6" width="13.5703125" customWidth="1"/>
    <col min="7" max="7" width="16.7109375" bestFit="1" customWidth="1"/>
    <col min="8" max="8" width="14.7109375" customWidth="1"/>
    <col min="9" max="9" width="12.85546875" bestFit="1" customWidth="1"/>
    <col min="11" max="11" width="20.85546875" customWidth="1"/>
    <col min="12" max="12" width="12.7109375" bestFit="1" customWidth="1"/>
    <col min="14" max="14" width="11.7109375" bestFit="1" customWidth="1"/>
  </cols>
  <sheetData>
    <row r="2" spans="2:13">
      <c r="B2" s="1305" t="s">
        <v>126</v>
      </c>
      <c r="C2" s="337" t="s">
        <v>49</v>
      </c>
    </row>
    <row r="3" spans="2:13" ht="15" thickBot="1">
      <c r="B3" s="1305"/>
      <c r="C3" s="337"/>
    </row>
    <row r="4" spans="2:13" ht="21" customHeight="1" thickBot="1">
      <c r="B4" s="1538" t="s">
        <v>867</v>
      </c>
      <c r="C4" s="1539"/>
      <c r="D4" s="1539"/>
      <c r="E4" s="1539"/>
      <c r="F4" s="1539"/>
      <c r="G4" s="1539"/>
      <c r="H4" s="1539"/>
      <c r="I4" s="1539"/>
      <c r="J4" s="1540"/>
      <c r="K4" s="162"/>
      <c r="L4" s="859" t="s">
        <v>166</v>
      </c>
      <c r="M4" s="860">
        <v>1002.5</v>
      </c>
    </row>
    <row r="5" spans="2:13" ht="19.899999999999999" customHeight="1" thickBot="1">
      <c r="B5" s="1326" t="s">
        <v>868</v>
      </c>
      <c r="C5" s="649" t="s">
        <v>869</v>
      </c>
      <c r="D5" s="649" t="s">
        <v>309</v>
      </c>
      <c r="E5" s="649" t="s">
        <v>870</v>
      </c>
      <c r="F5" s="649" t="s">
        <v>871</v>
      </c>
      <c r="G5" s="649" t="s">
        <v>872</v>
      </c>
      <c r="H5" s="649" t="s">
        <v>873</v>
      </c>
      <c r="I5" s="649" t="s">
        <v>874</v>
      </c>
      <c r="J5" s="1349" t="s">
        <v>875</v>
      </c>
      <c r="K5" s="162"/>
      <c r="L5" s="861" t="s">
        <v>167</v>
      </c>
      <c r="M5" s="862">
        <v>2.1999999999999999E-2</v>
      </c>
    </row>
    <row r="6" spans="2:13">
      <c r="B6" s="157" t="s">
        <v>876</v>
      </c>
      <c r="C6" s="1358" t="s">
        <v>877</v>
      </c>
      <c r="D6" s="1358" t="s">
        <v>878</v>
      </c>
      <c r="E6" s="872">
        <v>72645000</v>
      </c>
      <c r="F6" s="873">
        <f>E6/$M$4</f>
        <v>72463.840399002496</v>
      </c>
      <c r="G6" s="874">
        <f>F6*(1+$M$5)</f>
        <v>74058.044887780547</v>
      </c>
      <c r="H6" s="874">
        <f>G6*(1+$M$5)</f>
        <v>75687.321875311725</v>
      </c>
      <c r="I6" s="874">
        <f>H6*(1+$M$5)</f>
        <v>77352.442956568586</v>
      </c>
      <c r="J6" s="875">
        <f>I6*(1+$M$5)</f>
        <v>79054.196701613095</v>
      </c>
    </row>
    <row r="7" spans="2:13">
      <c r="B7" s="124" t="s">
        <v>879</v>
      </c>
      <c r="C7" s="192" t="s">
        <v>249</v>
      </c>
      <c r="D7" s="192" t="s">
        <v>249</v>
      </c>
      <c r="E7" s="865">
        <v>7650000</v>
      </c>
      <c r="F7" s="257">
        <f>E7/$M$4</f>
        <v>7630.9226932668325</v>
      </c>
      <c r="G7" s="858">
        <f t="shared" ref="G7:J42" si="0">F7*(1+$M$5)</f>
        <v>7798.8029925187029</v>
      </c>
      <c r="H7" s="863">
        <f t="shared" si="0"/>
        <v>7970.3766583541146</v>
      </c>
      <c r="I7" s="863">
        <f t="shared" si="0"/>
        <v>8145.7249448379052</v>
      </c>
      <c r="J7" s="876">
        <f t="shared" si="0"/>
        <v>8324.9308936243397</v>
      </c>
    </row>
    <row r="8" spans="2:13">
      <c r="B8" s="124" t="s">
        <v>510</v>
      </c>
      <c r="C8" s="1360" t="s">
        <v>880</v>
      </c>
      <c r="D8" s="1360" t="s">
        <v>881</v>
      </c>
      <c r="E8" s="865">
        <v>7815000</v>
      </c>
      <c r="F8" s="257">
        <f>E8/$M$4</f>
        <v>7795.5112219451375</v>
      </c>
      <c r="G8" s="858">
        <f t="shared" si="0"/>
        <v>7967.0124688279311</v>
      </c>
      <c r="H8" s="863">
        <f t="shared" si="0"/>
        <v>8142.2867431421455</v>
      </c>
      <c r="I8" s="863">
        <f t="shared" si="0"/>
        <v>8321.417051491273</v>
      </c>
      <c r="J8" s="876">
        <f t="shared" si="0"/>
        <v>8504.488226624082</v>
      </c>
    </row>
    <row r="9" spans="2:13">
      <c r="B9" s="124" t="s">
        <v>882</v>
      </c>
      <c r="C9" s="1360" t="s">
        <v>883</v>
      </c>
      <c r="D9" s="1360" t="s">
        <v>884</v>
      </c>
      <c r="E9" s="865">
        <v>4952400</v>
      </c>
      <c r="F9" s="257">
        <f t="shared" ref="F9:F41" si="1">E9/$M$4</f>
        <v>4940.0498753117208</v>
      </c>
      <c r="G9" s="858">
        <f t="shared" si="0"/>
        <v>5048.7309725685791</v>
      </c>
      <c r="H9" s="863">
        <f t="shared" si="0"/>
        <v>5159.8030539650881</v>
      </c>
      <c r="I9" s="863">
        <f t="shared" si="0"/>
        <v>5273.31872115232</v>
      </c>
      <c r="J9" s="876">
        <f t="shared" si="0"/>
        <v>5389.3317330176715</v>
      </c>
    </row>
    <row r="10" spans="2:13">
      <c r="B10" s="124" t="s">
        <v>885</v>
      </c>
      <c r="C10" s="1360" t="s">
        <v>886</v>
      </c>
      <c r="D10" s="1360">
        <v>200</v>
      </c>
      <c r="E10" s="193">
        <v>1150000</v>
      </c>
      <c r="F10" s="257">
        <f t="shared" si="1"/>
        <v>1147.1321695760598</v>
      </c>
      <c r="G10" s="858">
        <f t="shared" si="0"/>
        <v>1172.3690773067331</v>
      </c>
      <c r="H10" s="863">
        <f t="shared" si="0"/>
        <v>1198.1611970074812</v>
      </c>
      <c r="I10" s="863">
        <f t="shared" si="0"/>
        <v>1224.5207433416458</v>
      </c>
      <c r="J10" s="876">
        <f t="shared" si="0"/>
        <v>1251.4601996951621</v>
      </c>
    </row>
    <row r="11" spans="2:13">
      <c r="B11" s="124" t="s">
        <v>887</v>
      </c>
      <c r="C11" s="192" t="s">
        <v>888</v>
      </c>
      <c r="D11" s="192" t="s">
        <v>889</v>
      </c>
      <c r="E11" s="193">
        <v>1050000</v>
      </c>
      <c r="F11" s="257">
        <f t="shared" si="1"/>
        <v>1047.3815461346633</v>
      </c>
      <c r="G11" s="858">
        <f t="shared" si="0"/>
        <v>1070.4239401496259</v>
      </c>
      <c r="H11" s="863">
        <f t="shared" si="0"/>
        <v>1093.9732668329177</v>
      </c>
      <c r="I11" s="863">
        <f t="shared" si="0"/>
        <v>1118.0406787032418</v>
      </c>
      <c r="J11" s="876">
        <f t="shared" si="0"/>
        <v>1142.6375736347131</v>
      </c>
    </row>
    <row r="12" spans="2:13">
      <c r="B12" s="124" t="s">
        <v>890</v>
      </c>
      <c r="C12" s="192" t="s">
        <v>891</v>
      </c>
      <c r="D12" s="192" t="s">
        <v>892</v>
      </c>
      <c r="E12" s="193">
        <v>116000</v>
      </c>
      <c r="F12" s="257">
        <f t="shared" si="1"/>
        <v>115.71072319201996</v>
      </c>
      <c r="G12" s="858">
        <f t="shared" si="0"/>
        <v>118.2563591022444</v>
      </c>
      <c r="H12" s="863">
        <f t="shared" si="0"/>
        <v>120.85799900249378</v>
      </c>
      <c r="I12" s="863">
        <f t="shared" si="0"/>
        <v>123.51687498054865</v>
      </c>
      <c r="J12" s="876">
        <f t="shared" si="0"/>
        <v>126.23424623012072</v>
      </c>
    </row>
    <row r="13" spans="2:13">
      <c r="B13" s="124" t="s">
        <v>893</v>
      </c>
      <c r="C13" s="192" t="s">
        <v>894</v>
      </c>
      <c r="D13" s="192" t="s">
        <v>895</v>
      </c>
      <c r="E13" s="193">
        <v>81000</v>
      </c>
      <c r="F13" s="257">
        <f t="shared" si="1"/>
        <v>80.798004987531172</v>
      </c>
      <c r="G13" s="858">
        <f t="shared" si="0"/>
        <v>82.575561097256866</v>
      </c>
      <c r="H13" s="863">
        <f t="shared" si="0"/>
        <v>84.392223441396524</v>
      </c>
      <c r="I13" s="863">
        <f t="shared" si="0"/>
        <v>86.248852357107253</v>
      </c>
      <c r="J13" s="876">
        <f t="shared" si="0"/>
        <v>88.146327108963618</v>
      </c>
    </row>
    <row r="14" spans="2:13">
      <c r="B14" s="124" t="s">
        <v>896</v>
      </c>
      <c r="C14" s="192" t="s">
        <v>897</v>
      </c>
      <c r="D14" s="192" t="s">
        <v>249</v>
      </c>
      <c r="E14" s="193">
        <v>18000</v>
      </c>
      <c r="F14" s="257">
        <f t="shared" si="1"/>
        <v>17.955112219451372</v>
      </c>
      <c r="G14" s="858">
        <f t="shared" si="0"/>
        <v>18.350124688279301</v>
      </c>
      <c r="H14" s="863">
        <f t="shared" si="0"/>
        <v>18.753827431421445</v>
      </c>
      <c r="I14" s="863">
        <f t="shared" si="0"/>
        <v>19.166411634912716</v>
      </c>
      <c r="J14" s="876">
        <f t="shared" si="0"/>
        <v>19.588072690880797</v>
      </c>
    </row>
    <row r="15" spans="2:13">
      <c r="B15" s="124" t="s">
        <v>898</v>
      </c>
      <c r="C15" s="192" t="s">
        <v>899</v>
      </c>
      <c r="D15" s="192" t="s">
        <v>900</v>
      </c>
      <c r="E15" s="193">
        <v>216000</v>
      </c>
      <c r="F15" s="257">
        <f t="shared" si="1"/>
        <v>215.46134663341647</v>
      </c>
      <c r="G15" s="858">
        <f t="shared" si="0"/>
        <v>220.20149625935164</v>
      </c>
      <c r="H15" s="863">
        <f t="shared" si="0"/>
        <v>225.04592917705739</v>
      </c>
      <c r="I15" s="863">
        <f t="shared" si="0"/>
        <v>229.99693961895267</v>
      </c>
      <c r="J15" s="876">
        <f t="shared" si="0"/>
        <v>235.05687229056963</v>
      </c>
    </row>
    <row r="16" spans="2:13">
      <c r="B16" s="124" t="s">
        <v>901</v>
      </c>
      <c r="C16" s="192" t="s">
        <v>902</v>
      </c>
      <c r="D16" s="192" t="s">
        <v>903</v>
      </c>
      <c r="E16" s="193">
        <v>154000</v>
      </c>
      <c r="F16" s="257">
        <f t="shared" si="1"/>
        <v>153.61596009975062</v>
      </c>
      <c r="G16" s="858">
        <f t="shared" si="0"/>
        <v>156.99551122194515</v>
      </c>
      <c r="H16" s="863">
        <f t="shared" si="0"/>
        <v>160.44941246882794</v>
      </c>
      <c r="I16" s="863">
        <f t="shared" si="0"/>
        <v>163.97929954314216</v>
      </c>
      <c r="J16" s="876">
        <f t="shared" si="0"/>
        <v>167.58684413309129</v>
      </c>
    </row>
    <row r="17" spans="2:11">
      <c r="B17" s="124" t="s">
        <v>904</v>
      </c>
      <c r="C17" s="192" t="s">
        <v>905</v>
      </c>
      <c r="D17" s="192" t="s">
        <v>906</v>
      </c>
      <c r="E17" s="193">
        <v>49000</v>
      </c>
      <c r="F17" s="257">
        <f t="shared" si="1"/>
        <v>48.877805486284288</v>
      </c>
      <c r="G17" s="858">
        <f t="shared" si="0"/>
        <v>49.95311720698254</v>
      </c>
      <c r="H17" s="863">
        <f t="shared" si="0"/>
        <v>51.052085785536157</v>
      </c>
      <c r="I17" s="863">
        <f t="shared" si="0"/>
        <v>52.175231672817951</v>
      </c>
      <c r="J17" s="876">
        <f t="shared" si="0"/>
        <v>53.323086769619948</v>
      </c>
    </row>
    <row r="18" spans="2:11">
      <c r="B18" s="124" t="s">
        <v>556</v>
      </c>
      <c r="C18" s="192" t="s">
        <v>907</v>
      </c>
      <c r="D18" s="192" t="s">
        <v>908</v>
      </c>
      <c r="E18" s="193">
        <v>489000</v>
      </c>
      <c r="F18" s="257">
        <f t="shared" si="1"/>
        <v>487.7805486284289</v>
      </c>
      <c r="G18" s="858">
        <f t="shared" si="0"/>
        <v>498.51172069825435</v>
      </c>
      <c r="H18" s="863">
        <f t="shared" si="0"/>
        <v>509.47897855361595</v>
      </c>
      <c r="I18" s="863">
        <f t="shared" si="0"/>
        <v>520.68751608179548</v>
      </c>
      <c r="J18" s="876">
        <f t="shared" si="0"/>
        <v>532.14264143559501</v>
      </c>
    </row>
    <row r="19" spans="2:11">
      <c r="B19" s="124" t="s">
        <v>909</v>
      </c>
      <c r="C19" s="192" t="s">
        <v>249</v>
      </c>
      <c r="D19" s="192" t="s">
        <v>249</v>
      </c>
      <c r="E19" s="193">
        <v>36000</v>
      </c>
      <c r="F19" s="257">
        <f t="shared" si="1"/>
        <v>35.910224438902745</v>
      </c>
      <c r="G19" s="858">
        <f t="shared" si="0"/>
        <v>36.700249376558602</v>
      </c>
      <c r="H19" s="863">
        <f t="shared" si="0"/>
        <v>37.507654862842891</v>
      </c>
      <c r="I19" s="863">
        <f t="shared" si="0"/>
        <v>38.332823269825433</v>
      </c>
      <c r="J19" s="876">
        <f t="shared" si="0"/>
        <v>39.176145381761593</v>
      </c>
    </row>
    <row r="20" spans="2:11">
      <c r="B20" s="124" t="s">
        <v>910</v>
      </c>
      <c r="C20" s="1360" t="s">
        <v>911</v>
      </c>
      <c r="D20" s="1360">
        <v>2747</v>
      </c>
      <c r="E20" s="193">
        <v>40000</v>
      </c>
      <c r="F20" s="257">
        <f t="shared" si="1"/>
        <v>39.900249376558605</v>
      </c>
      <c r="G20" s="858">
        <f t="shared" si="0"/>
        <v>40.778054862842893</v>
      </c>
      <c r="H20" s="863">
        <f t="shared" si="0"/>
        <v>41.675172069825436</v>
      </c>
      <c r="I20" s="863">
        <f t="shared" si="0"/>
        <v>42.592025855361598</v>
      </c>
      <c r="J20" s="876">
        <f t="shared" si="0"/>
        <v>43.529050424179552</v>
      </c>
    </row>
    <row r="21" spans="2:11">
      <c r="B21" s="124" t="s">
        <v>912</v>
      </c>
      <c r="C21" s="1360" t="s">
        <v>913</v>
      </c>
      <c r="D21" s="1360">
        <v>9936518</v>
      </c>
      <c r="E21" s="193">
        <v>21400</v>
      </c>
      <c r="F21" s="257">
        <f t="shared" si="1"/>
        <v>21.346633416458854</v>
      </c>
      <c r="G21" s="858">
        <f t="shared" si="0"/>
        <v>21.81625935162095</v>
      </c>
      <c r="H21" s="863">
        <f t="shared" si="0"/>
        <v>22.296217057356611</v>
      </c>
      <c r="I21" s="863">
        <f t="shared" si="0"/>
        <v>22.786733832618456</v>
      </c>
      <c r="J21" s="876">
        <f t="shared" si="0"/>
        <v>23.288041976936061</v>
      </c>
    </row>
    <row r="22" spans="2:11">
      <c r="B22" s="124" t="s">
        <v>914</v>
      </c>
      <c r="C22" s="1360" t="s">
        <v>915</v>
      </c>
      <c r="D22" s="1360" t="s">
        <v>249</v>
      </c>
      <c r="E22" s="193">
        <v>930000</v>
      </c>
      <c r="F22" s="257">
        <f t="shared" si="1"/>
        <v>927.68079800498754</v>
      </c>
      <c r="G22" s="858">
        <f t="shared" si="0"/>
        <v>948.08977556109733</v>
      </c>
      <c r="H22" s="863">
        <f t="shared" si="0"/>
        <v>968.94775062344149</v>
      </c>
      <c r="I22" s="863">
        <f t="shared" si="0"/>
        <v>990.26460113715723</v>
      </c>
      <c r="J22" s="876">
        <f t="shared" si="0"/>
        <v>1012.0504223621747</v>
      </c>
      <c r="K22" t="s">
        <v>916</v>
      </c>
    </row>
    <row r="23" spans="2:11">
      <c r="B23" s="124" t="s">
        <v>917</v>
      </c>
      <c r="C23" s="1360"/>
      <c r="D23" s="1360"/>
      <c r="E23" s="193">
        <v>18360000</v>
      </c>
      <c r="F23" s="257">
        <f>E23/$M$4</f>
        <v>18314.214463840399</v>
      </c>
      <c r="G23" s="858">
        <f>F23*(1+$M$5)</f>
        <v>18717.127182044889</v>
      </c>
      <c r="H23" s="863">
        <f>G23*(1+$M$5)</f>
        <v>19128.903980049876</v>
      </c>
      <c r="I23" s="863">
        <f>H23*(1+$M$5)</f>
        <v>19549.739867610973</v>
      </c>
      <c r="J23" s="876">
        <f>I23*(1+$M$5)</f>
        <v>19979.834144698416</v>
      </c>
    </row>
    <row r="24" spans="2:11">
      <c r="B24" s="124" t="s">
        <v>918</v>
      </c>
      <c r="C24" s="192" t="s">
        <v>249</v>
      </c>
      <c r="D24" s="192" t="s">
        <v>249</v>
      </c>
      <c r="E24" s="193">
        <v>540000</v>
      </c>
      <c r="F24" s="257">
        <f>E24/$M$4</f>
        <v>538.65336658354113</v>
      </c>
      <c r="G24" s="858">
        <f t="shared" si="0"/>
        <v>550.50374064837899</v>
      </c>
      <c r="H24" s="863">
        <f t="shared" si="0"/>
        <v>562.61482294264329</v>
      </c>
      <c r="I24" s="863">
        <f t="shared" si="0"/>
        <v>574.99234904738148</v>
      </c>
      <c r="J24" s="876">
        <f t="shared" si="0"/>
        <v>587.64218072642393</v>
      </c>
    </row>
    <row r="25" spans="2:11">
      <c r="B25" s="124" t="s">
        <v>919</v>
      </c>
      <c r="C25" s="1360" t="s">
        <v>249</v>
      </c>
      <c r="D25" s="1360" t="s">
        <v>249</v>
      </c>
      <c r="E25" s="212">
        <v>240000</v>
      </c>
      <c r="F25" s="257">
        <f t="shared" si="1"/>
        <v>239.40149625935163</v>
      </c>
      <c r="G25" s="858">
        <f t="shared" si="0"/>
        <v>244.66832917705736</v>
      </c>
      <c r="H25" s="863">
        <f t="shared" si="0"/>
        <v>250.05103241895262</v>
      </c>
      <c r="I25" s="863">
        <f t="shared" si="0"/>
        <v>255.55215513216959</v>
      </c>
      <c r="J25" s="876">
        <f t="shared" si="0"/>
        <v>261.1743025450773</v>
      </c>
    </row>
    <row r="26" spans="2:11">
      <c r="B26" s="124" t="s">
        <v>920</v>
      </c>
      <c r="C26" s="1360" t="s">
        <v>249</v>
      </c>
      <c r="D26" s="1360" t="s">
        <v>249</v>
      </c>
      <c r="E26" s="212">
        <v>335000</v>
      </c>
      <c r="F26" s="257">
        <f t="shared" si="1"/>
        <v>334.16458852867828</v>
      </c>
      <c r="G26" s="858">
        <f t="shared" si="0"/>
        <v>341.5162094763092</v>
      </c>
      <c r="H26" s="863">
        <f t="shared" si="0"/>
        <v>349.02956608478803</v>
      </c>
      <c r="I26" s="863">
        <f t="shared" si="0"/>
        <v>356.70821653865335</v>
      </c>
      <c r="J26" s="876">
        <f t="shared" si="0"/>
        <v>364.55579730250372</v>
      </c>
    </row>
    <row r="27" spans="2:11">
      <c r="B27" s="124" t="s">
        <v>921</v>
      </c>
      <c r="C27" s="1360" t="s">
        <v>249</v>
      </c>
      <c r="D27" s="1360" t="s">
        <v>249</v>
      </c>
      <c r="E27" s="212">
        <v>63000</v>
      </c>
      <c r="F27" s="257">
        <f t="shared" si="1"/>
        <v>62.8428927680798</v>
      </c>
      <c r="G27" s="858">
        <f t="shared" si="0"/>
        <v>64.225436408977558</v>
      </c>
      <c r="H27" s="863">
        <f t="shared" si="0"/>
        <v>65.638396009975068</v>
      </c>
      <c r="I27" s="863">
        <f t="shared" si="0"/>
        <v>67.082440722194519</v>
      </c>
      <c r="J27" s="876">
        <f t="shared" si="0"/>
        <v>68.558254418082797</v>
      </c>
    </row>
    <row r="28" spans="2:11">
      <c r="B28" s="124" t="s">
        <v>922</v>
      </c>
      <c r="C28" s="1360" t="s">
        <v>249</v>
      </c>
      <c r="D28" s="1360" t="s">
        <v>249</v>
      </c>
      <c r="E28" s="212">
        <v>168000</v>
      </c>
      <c r="F28" s="257">
        <f t="shared" si="1"/>
        <v>167.58104738154614</v>
      </c>
      <c r="G28" s="858">
        <f t="shared" si="0"/>
        <v>171.26783042394015</v>
      </c>
      <c r="H28" s="863">
        <f t="shared" si="0"/>
        <v>175.03572269326685</v>
      </c>
      <c r="I28" s="863">
        <f t="shared" si="0"/>
        <v>178.88650859251871</v>
      </c>
      <c r="J28" s="876">
        <f t="shared" si="0"/>
        <v>182.82201178155412</v>
      </c>
      <c r="K28" t="s">
        <v>923</v>
      </c>
    </row>
    <row r="29" spans="2:11">
      <c r="B29" s="124" t="s">
        <v>924</v>
      </c>
      <c r="C29" s="1360" t="s">
        <v>925</v>
      </c>
      <c r="D29" s="1360" t="s">
        <v>249</v>
      </c>
      <c r="E29" s="212">
        <v>132000</v>
      </c>
      <c r="F29" s="257">
        <f t="shared" si="1"/>
        <v>131.67082294264338</v>
      </c>
      <c r="G29" s="858">
        <f t="shared" si="0"/>
        <v>134.56758104738154</v>
      </c>
      <c r="H29" s="863">
        <f t="shared" si="0"/>
        <v>137.52806783042394</v>
      </c>
      <c r="I29" s="863">
        <f t="shared" si="0"/>
        <v>140.55368532269327</v>
      </c>
      <c r="J29" s="876">
        <f t="shared" si="0"/>
        <v>143.64586639979251</v>
      </c>
    </row>
    <row r="30" spans="2:11">
      <c r="B30" s="124" t="s">
        <v>926</v>
      </c>
      <c r="C30" s="1360" t="s">
        <v>927</v>
      </c>
      <c r="D30" s="1360" t="s">
        <v>928</v>
      </c>
      <c r="E30" s="212">
        <v>140000</v>
      </c>
      <c r="F30" s="257">
        <f t="shared" si="1"/>
        <v>139.6508728179551</v>
      </c>
      <c r="G30" s="858">
        <f t="shared" si="0"/>
        <v>142.72319201995012</v>
      </c>
      <c r="H30" s="863">
        <f t="shared" si="0"/>
        <v>145.86310224438901</v>
      </c>
      <c r="I30" s="863">
        <f t="shared" si="0"/>
        <v>149.07209049376559</v>
      </c>
      <c r="J30" s="876">
        <f t="shared" si="0"/>
        <v>152.35167648462843</v>
      </c>
    </row>
    <row r="31" spans="2:11">
      <c r="B31" s="124" t="s">
        <v>929</v>
      </c>
      <c r="C31" s="1360" t="s">
        <v>927</v>
      </c>
      <c r="D31" s="1360" t="s">
        <v>930</v>
      </c>
      <c r="E31" s="212">
        <v>278000</v>
      </c>
      <c r="F31" s="257">
        <f t="shared" si="1"/>
        <v>277.30673316708231</v>
      </c>
      <c r="G31" s="858">
        <f t="shared" si="0"/>
        <v>283.40748129675814</v>
      </c>
      <c r="H31" s="863">
        <f t="shared" si="0"/>
        <v>289.6424458852868</v>
      </c>
      <c r="I31" s="863">
        <f t="shared" si="0"/>
        <v>296.01457969476314</v>
      </c>
      <c r="J31" s="876">
        <f t="shared" si="0"/>
        <v>302.52690044804791</v>
      </c>
    </row>
    <row r="32" spans="2:11">
      <c r="B32" s="124" t="s">
        <v>931</v>
      </c>
      <c r="C32" s="1360" t="s">
        <v>932</v>
      </c>
      <c r="D32" s="1360" t="s">
        <v>933</v>
      </c>
      <c r="E32" s="212">
        <v>663000</v>
      </c>
      <c r="F32" s="257">
        <f t="shared" si="1"/>
        <v>661.34663341645887</v>
      </c>
      <c r="G32" s="858">
        <f t="shared" si="0"/>
        <v>675.89625935162098</v>
      </c>
      <c r="H32" s="863">
        <f t="shared" si="0"/>
        <v>690.76597705735662</v>
      </c>
      <c r="I32" s="863">
        <f t="shared" si="0"/>
        <v>705.96282855261848</v>
      </c>
      <c r="J32" s="876">
        <f t="shared" si="0"/>
        <v>721.49401078077608</v>
      </c>
    </row>
    <row r="33" spans="2:10">
      <c r="B33" s="124" t="s">
        <v>934</v>
      </c>
      <c r="C33" s="1360" t="s">
        <v>935</v>
      </c>
      <c r="D33" s="1360" t="s">
        <v>936</v>
      </c>
      <c r="E33" s="212">
        <v>650000</v>
      </c>
      <c r="F33" s="257">
        <f t="shared" si="1"/>
        <v>648.37905236907727</v>
      </c>
      <c r="G33" s="858">
        <f t="shared" si="0"/>
        <v>662.64339152119703</v>
      </c>
      <c r="H33" s="863">
        <f t="shared" si="0"/>
        <v>677.22154613466341</v>
      </c>
      <c r="I33" s="863">
        <f t="shared" si="0"/>
        <v>692.12042014962606</v>
      </c>
      <c r="J33" s="876">
        <f t="shared" si="0"/>
        <v>707.34706939291789</v>
      </c>
    </row>
    <row r="34" spans="2:10">
      <c r="B34" s="124" t="s">
        <v>937</v>
      </c>
      <c r="C34" s="1360" t="s">
        <v>938</v>
      </c>
      <c r="D34" s="1360" t="s">
        <v>249</v>
      </c>
      <c r="E34" s="212">
        <v>169000</v>
      </c>
      <c r="F34" s="257">
        <f t="shared" si="1"/>
        <v>168.57855361596009</v>
      </c>
      <c r="G34" s="858">
        <f t="shared" si="0"/>
        <v>172.28728179551121</v>
      </c>
      <c r="H34" s="863">
        <f t="shared" si="0"/>
        <v>176.07760199501246</v>
      </c>
      <c r="I34" s="863">
        <f t="shared" si="0"/>
        <v>179.95130923890272</v>
      </c>
      <c r="J34" s="876">
        <f t="shared" si="0"/>
        <v>183.9102380421586</v>
      </c>
    </row>
    <row r="35" spans="2:10">
      <c r="B35" s="124" t="s">
        <v>939</v>
      </c>
      <c r="C35" s="1360" t="s">
        <v>249</v>
      </c>
      <c r="D35" s="1360" t="s">
        <v>249</v>
      </c>
      <c r="E35" s="212">
        <v>82000</v>
      </c>
      <c r="F35" s="257">
        <f t="shared" si="1"/>
        <v>81.795511221945134</v>
      </c>
      <c r="G35" s="858">
        <f t="shared" si="0"/>
        <v>83.595012468827932</v>
      </c>
      <c r="H35" s="863">
        <f t="shared" si="0"/>
        <v>85.434102743142148</v>
      </c>
      <c r="I35" s="863">
        <f t="shared" si="0"/>
        <v>87.313653003491282</v>
      </c>
      <c r="J35" s="876">
        <f t="shared" si="0"/>
        <v>89.23455336956809</v>
      </c>
    </row>
    <row r="36" spans="2:10">
      <c r="B36" s="124" t="s">
        <v>940</v>
      </c>
      <c r="C36" s="1360" t="s">
        <v>249</v>
      </c>
      <c r="D36" s="1360" t="s">
        <v>249</v>
      </c>
      <c r="E36" s="212">
        <v>112000</v>
      </c>
      <c r="F36" s="257">
        <f t="shared" si="1"/>
        <v>111.72069825436409</v>
      </c>
      <c r="G36" s="858">
        <f t="shared" si="0"/>
        <v>114.17855361596011</v>
      </c>
      <c r="H36" s="863">
        <f t="shared" si="0"/>
        <v>116.69048179551123</v>
      </c>
      <c r="I36" s="863">
        <f t="shared" si="0"/>
        <v>119.25767239501248</v>
      </c>
      <c r="J36" s="876">
        <f t="shared" si="0"/>
        <v>121.88134118770276</v>
      </c>
    </row>
    <row r="37" spans="2:10">
      <c r="B37" s="124" t="s">
        <v>562</v>
      </c>
      <c r="C37" s="1360" t="s">
        <v>941</v>
      </c>
      <c r="D37" s="1360" t="s">
        <v>942</v>
      </c>
      <c r="E37" s="212">
        <v>740000</v>
      </c>
      <c r="F37" s="257">
        <f t="shared" si="1"/>
        <v>738.15461346633413</v>
      </c>
      <c r="G37" s="858">
        <f t="shared" si="0"/>
        <v>754.39401496259347</v>
      </c>
      <c r="H37" s="863">
        <f t="shared" si="0"/>
        <v>770.99068329177055</v>
      </c>
      <c r="I37" s="863">
        <f t="shared" si="0"/>
        <v>787.95247832418954</v>
      </c>
      <c r="J37" s="876">
        <f t="shared" si="0"/>
        <v>805.28743284732172</v>
      </c>
    </row>
    <row r="38" spans="2:10">
      <c r="B38" s="124" t="s">
        <v>943</v>
      </c>
      <c r="C38" s="1360" t="s">
        <v>944</v>
      </c>
      <c r="D38" s="1360" t="s">
        <v>945</v>
      </c>
      <c r="E38" s="212">
        <v>615000</v>
      </c>
      <c r="F38" s="257">
        <f t="shared" si="1"/>
        <v>613.46633416458849</v>
      </c>
      <c r="G38" s="858">
        <f t="shared" si="0"/>
        <v>626.96259351620949</v>
      </c>
      <c r="H38" s="863">
        <f t="shared" si="0"/>
        <v>640.75577057356611</v>
      </c>
      <c r="I38" s="863">
        <f t="shared" si="0"/>
        <v>654.85239752618463</v>
      </c>
      <c r="J38" s="876">
        <f t="shared" si="0"/>
        <v>669.25915027176075</v>
      </c>
    </row>
    <row r="39" spans="2:10">
      <c r="B39" s="124" t="s">
        <v>946</v>
      </c>
      <c r="C39" s="1360" t="s">
        <v>947</v>
      </c>
      <c r="D39" s="1360" t="s">
        <v>948</v>
      </c>
      <c r="E39" s="212">
        <v>240000</v>
      </c>
      <c r="F39" s="257">
        <f t="shared" si="1"/>
        <v>239.40149625935163</v>
      </c>
      <c r="G39" s="858">
        <f t="shared" si="0"/>
        <v>244.66832917705736</v>
      </c>
      <c r="H39" s="863">
        <f t="shared" si="0"/>
        <v>250.05103241895262</v>
      </c>
      <c r="I39" s="863">
        <f t="shared" si="0"/>
        <v>255.55215513216959</v>
      </c>
      <c r="J39" s="876">
        <f t="shared" si="0"/>
        <v>261.1743025450773</v>
      </c>
    </row>
    <row r="40" spans="2:10">
      <c r="B40" s="124" t="s">
        <v>949</v>
      </c>
      <c r="C40" s="1360" t="s">
        <v>950</v>
      </c>
      <c r="D40" s="1360" t="s">
        <v>951</v>
      </c>
      <c r="E40" s="212">
        <v>298000</v>
      </c>
      <c r="F40" s="257">
        <f t="shared" si="1"/>
        <v>297.2568578553616</v>
      </c>
      <c r="G40" s="858">
        <f t="shared" si="0"/>
        <v>303.79650872817956</v>
      </c>
      <c r="H40" s="863">
        <f t="shared" si="0"/>
        <v>310.48003192019951</v>
      </c>
      <c r="I40" s="863">
        <f t="shared" si="0"/>
        <v>317.31059262244389</v>
      </c>
      <c r="J40" s="876">
        <f t="shared" si="0"/>
        <v>324.29142566013769</v>
      </c>
    </row>
    <row r="41" spans="2:10">
      <c r="B41" s="124" t="s">
        <v>287</v>
      </c>
      <c r="C41" s="1360" t="s">
        <v>952</v>
      </c>
      <c r="D41" s="1360" t="s">
        <v>953</v>
      </c>
      <c r="E41" s="212">
        <v>251000</v>
      </c>
      <c r="F41" s="257">
        <f t="shared" si="1"/>
        <v>250.37406483790522</v>
      </c>
      <c r="G41" s="858">
        <f t="shared" si="0"/>
        <v>255.88229426433915</v>
      </c>
      <c r="H41" s="863">
        <f t="shared" si="0"/>
        <v>261.51170473815461</v>
      </c>
      <c r="I41" s="863">
        <f t="shared" si="0"/>
        <v>267.26496224239401</v>
      </c>
      <c r="J41" s="876">
        <f t="shared" si="0"/>
        <v>273.14479141172666</v>
      </c>
    </row>
    <row r="42" spans="2:10" ht="15" thickBot="1">
      <c r="B42" s="125" t="s">
        <v>954</v>
      </c>
      <c r="C42" s="1367" t="s">
        <v>249</v>
      </c>
      <c r="D42" s="1367" t="s">
        <v>249</v>
      </c>
      <c r="E42" s="178">
        <v>627000</v>
      </c>
      <c r="F42" s="260">
        <f>E42/$M$4</f>
        <v>625.43640897755608</v>
      </c>
      <c r="G42" s="864">
        <f t="shared" si="0"/>
        <v>639.19600997506234</v>
      </c>
      <c r="H42" s="877">
        <f t="shared" si="0"/>
        <v>653.25832219451377</v>
      </c>
      <c r="I42" s="877">
        <f t="shared" si="0"/>
        <v>667.63000528279304</v>
      </c>
      <c r="J42" s="878">
        <f t="shared" si="0"/>
        <v>682.31786539901452</v>
      </c>
    </row>
    <row r="43" spans="2:10" ht="15" thickBot="1"/>
    <row r="44" spans="2:10" ht="19.899999999999999" customHeight="1" thickBot="1">
      <c r="B44" s="1689" t="s">
        <v>955</v>
      </c>
      <c r="C44" s="1690"/>
      <c r="D44" s="1690"/>
      <c r="E44" s="1690"/>
      <c r="F44" s="1690"/>
      <c r="G44" s="1691"/>
    </row>
    <row r="45" spans="2:10" ht="19.899999999999999" customHeight="1" thickBot="1">
      <c r="B45" s="1622" t="s">
        <v>956</v>
      </c>
      <c r="C45" s="1483"/>
      <c r="D45" s="1483"/>
      <c r="E45" s="1483"/>
      <c r="F45" s="1483"/>
      <c r="G45" s="1623"/>
    </row>
    <row r="46" spans="2:10" ht="19.899999999999999" customHeight="1" thickBot="1">
      <c r="B46" s="1350" t="s">
        <v>868</v>
      </c>
      <c r="C46" s="1323" t="s">
        <v>869</v>
      </c>
      <c r="D46" s="1323" t="s">
        <v>309</v>
      </c>
      <c r="E46" s="1323" t="s">
        <v>482</v>
      </c>
      <c r="F46" s="1323" t="s">
        <v>227</v>
      </c>
      <c r="G46" s="1351" t="s">
        <v>957</v>
      </c>
    </row>
    <row r="47" spans="2:10">
      <c r="B47" s="132" t="s">
        <v>876</v>
      </c>
      <c r="C47" s="131" t="s">
        <v>877</v>
      </c>
      <c r="D47" s="131" t="s">
        <v>878</v>
      </c>
      <c r="E47" s="903">
        <f t="shared" ref="E47:E65" si="2">VLOOKUP(B47,$B$6:$J$42,5,FALSE)</f>
        <v>72463.840399002496</v>
      </c>
      <c r="F47" s="131">
        <v>1</v>
      </c>
      <c r="G47" s="904">
        <f>E47*F47</f>
        <v>72463.840399002496</v>
      </c>
    </row>
    <row r="48" spans="2:10">
      <c r="B48" s="124" t="s">
        <v>879</v>
      </c>
      <c r="C48" s="192" t="s">
        <v>249</v>
      </c>
      <c r="D48" s="192" t="s">
        <v>249</v>
      </c>
      <c r="E48" s="903">
        <f t="shared" si="2"/>
        <v>7630.9226932668325</v>
      </c>
      <c r="F48" s="1360">
        <v>2</v>
      </c>
      <c r="G48" s="904">
        <f t="shared" ref="G48:G65" si="3">E48*F48</f>
        <v>15261.845386533665</v>
      </c>
    </row>
    <row r="49" spans="2:8">
      <c r="B49" s="124" t="s">
        <v>510</v>
      </c>
      <c r="C49" s="1360" t="s">
        <v>880</v>
      </c>
      <c r="D49" s="1360" t="s">
        <v>881</v>
      </c>
      <c r="E49" s="903">
        <f t="shared" si="2"/>
        <v>7795.5112219451375</v>
      </c>
      <c r="F49" s="1360">
        <v>1</v>
      </c>
      <c r="G49" s="904">
        <f t="shared" si="3"/>
        <v>7795.5112219451375</v>
      </c>
    </row>
    <row r="50" spans="2:8">
      <c r="B50" s="124" t="s">
        <v>882</v>
      </c>
      <c r="C50" s="1360" t="s">
        <v>883</v>
      </c>
      <c r="D50" s="1360" t="s">
        <v>884</v>
      </c>
      <c r="E50" s="903">
        <f t="shared" si="2"/>
        <v>4940.0498753117208</v>
      </c>
      <c r="F50" s="1360">
        <v>1</v>
      </c>
      <c r="G50" s="904">
        <f t="shared" si="3"/>
        <v>4940.0498753117208</v>
      </c>
    </row>
    <row r="51" spans="2:8">
      <c r="B51" s="124" t="s">
        <v>885</v>
      </c>
      <c r="C51" s="1360" t="s">
        <v>886</v>
      </c>
      <c r="D51" s="1360">
        <v>200</v>
      </c>
      <c r="E51" s="903">
        <f t="shared" si="2"/>
        <v>1147.1321695760598</v>
      </c>
      <c r="F51" s="1360">
        <v>1</v>
      </c>
      <c r="G51" s="905">
        <f t="shared" si="3"/>
        <v>1147.1321695760598</v>
      </c>
      <c r="H51" t="s">
        <v>958</v>
      </c>
    </row>
    <row r="52" spans="2:8">
      <c r="B52" s="124" t="s">
        <v>887</v>
      </c>
      <c r="C52" s="192" t="s">
        <v>888</v>
      </c>
      <c r="D52" s="192" t="s">
        <v>889</v>
      </c>
      <c r="E52" s="903">
        <f t="shared" si="2"/>
        <v>1047.3815461346633</v>
      </c>
      <c r="F52" s="1360">
        <v>1</v>
      </c>
      <c r="G52" s="905">
        <f t="shared" si="3"/>
        <v>1047.3815461346633</v>
      </c>
    </row>
    <row r="53" spans="2:8">
      <c r="B53" s="124" t="s">
        <v>890</v>
      </c>
      <c r="C53" s="192" t="s">
        <v>891</v>
      </c>
      <c r="D53" s="192" t="s">
        <v>892</v>
      </c>
      <c r="E53" s="903">
        <f t="shared" si="2"/>
        <v>115.71072319201996</v>
      </c>
      <c r="F53" s="1360">
        <v>1</v>
      </c>
      <c r="G53" s="905">
        <f t="shared" si="3"/>
        <v>115.71072319201996</v>
      </c>
    </row>
    <row r="54" spans="2:8">
      <c r="B54" s="124" t="s">
        <v>893</v>
      </c>
      <c r="C54" s="192" t="s">
        <v>894</v>
      </c>
      <c r="D54" s="192" t="s">
        <v>895</v>
      </c>
      <c r="E54" s="903">
        <f t="shared" si="2"/>
        <v>80.798004987531172</v>
      </c>
      <c r="F54" s="1360">
        <v>1</v>
      </c>
      <c r="G54" s="905">
        <f t="shared" si="3"/>
        <v>80.798004987531172</v>
      </c>
    </row>
    <row r="55" spans="2:8">
      <c r="B55" s="124" t="s">
        <v>896</v>
      </c>
      <c r="C55" s="192" t="s">
        <v>897</v>
      </c>
      <c r="D55" s="192" t="s">
        <v>249</v>
      </c>
      <c r="E55" s="903">
        <f t="shared" si="2"/>
        <v>17.955112219451372</v>
      </c>
      <c r="F55" s="1360">
        <v>1</v>
      </c>
      <c r="G55" s="905">
        <f t="shared" si="3"/>
        <v>17.955112219451372</v>
      </c>
    </row>
    <row r="56" spans="2:8">
      <c r="B56" s="124" t="s">
        <v>898</v>
      </c>
      <c r="C56" s="192" t="s">
        <v>899</v>
      </c>
      <c r="D56" s="192" t="s">
        <v>900</v>
      </c>
      <c r="E56" s="903">
        <f t="shared" si="2"/>
        <v>215.46134663341647</v>
      </c>
      <c r="F56" s="1360">
        <v>1</v>
      </c>
      <c r="G56" s="905">
        <f t="shared" si="3"/>
        <v>215.46134663341647</v>
      </c>
    </row>
    <row r="57" spans="2:8">
      <c r="B57" s="124" t="s">
        <v>901</v>
      </c>
      <c r="C57" s="192" t="s">
        <v>902</v>
      </c>
      <c r="D57" s="192" t="s">
        <v>903</v>
      </c>
      <c r="E57" s="903">
        <f t="shared" si="2"/>
        <v>153.61596009975062</v>
      </c>
      <c r="F57" s="1360">
        <v>2</v>
      </c>
      <c r="G57" s="905">
        <f t="shared" si="3"/>
        <v>307.23192019950125</v>
      </c>
    </row>
    <row r="58" spans="2:8">
      <c r="B58" s="124" t="s">
        <v>904</v>
      </c>
      <c r="C58" s="192" t="s">
        <v>905</v>
      </c>
      <c r="D58" s="192" t="s">
        <v>906</v>
      </c>
      <c r="E58" s="903">
        <f t="shared" si="2"/>
        <v>48.877805486284288</v>
      </c>
      <c r="F58" s="1360">
        <v>1</v>
      </c>
      <c r="G58" s="905">
        <f t="shared" si="3"/>
        <v>48.877805486284288</v>
      </c>
    </row>
    <row r="59" spans="2:8">
      <c r="B59" s="124" t="s">
        <v>556</v>
      </c>
      <c r="C59" s="192" t="s">
        <v>907</v>
      </c>
      <c r="D59" s="192" t="s">
        <v>908</v>
      </c>
      <c r="E59" s="903">
        <f t="shared" si="2"/>
        <v>487.7805486284289</v>
      </c>
      <c r="F59" s="1360">
        <v>1</v>
      </c>
      <c r="G59" s="905">
        <f t="shared" si="3"/>
        <v>487.7805486284289</v>
      </c>
    </row>
    <row r="60" spans="2:8" ht="15" customHeight="1">
      <c r="B60" s="124" t="s">
        <v>909</v>
      </c>
      <c r="C60" s="192" t="s">
        <v>249</v>
      </c>
      <c r="D60" s="192" t="s">
        <v>249</v>
      </c>
      <c r="E60" s="903">
        <f t="shared" si="2"/>
        <v>35.910224438902745</v>
      </c>
      <c r="F60" s="1360">
        <v>1</v>
      </c>
      <c r="G60" s="905">
        <f t="shared" si="3"/>
        <v>35.910224438902745</v>
      </c>
    </row>
    <row r="61" spans="2:8">
      <c r="B61" s="124" t="s">
        <v>910</v>
      </c>
      <c r="C61" s="1360" t="s">
        <v>911</v>
      </c>
      <c r="D61" s="1360">
        <v>2747</v>
      </c>
      <c r="E61" s="903">
        <f t="shared" si="2"/>
        <v>39.900249376558605</v>
      </c>
      <c r="F61" s="1360">
        <v>2</v>
      </c>
      <c r="G61" s="905">
        <f t="shared" si="3"/>
        <v>79.800498753117211</v>
      </c>
    </row>
    <row r="62" spans="2:8">
      <c r="B62" s="124" t="s">
        <v>912</v>
      </c>
      <c r="C62" s="1360" t="s">
        <v>913</v>
      </c>
      <c r="D62" s="1360">
        <v>9936518</v>
      </c>
      <c r="E62" s="903">
        <f t="shared" si="2"/>
        <v>21.346633416458854</v>
      </c>
      <c r="F62" s="1360">
        <v>3</v>
      </c>
      <c r="G62" s="905">
        <f t="shared" si="3"/>
        <v>64.039900249376558</v>
      </c>
    </row>
    <row r="63" spans="2:8">
      <c r="B63" s="124" t="s">
        <v>917</v>
      </c>
      <c r="C63" s="230"/>
      <c r="D63" s="230"/>
      <c r="E63" s="903">
        <f t="shared" si="2"/>
        <v>18314.214463840399</v>
      </c>
      <c r="F63" s="230">
        <v>1</v>
      </c>
      <c r="G63" s="905">
        <f t="shared" si="3"/>
        <v>18314.214463840399</v>
      </c>
    </row>
    <row r="64" spans="2:8">
      <c r="B64" s="229" t="s">
        <v>914</v>
      </c>
      <c r="C64" s="230" t="s">
        <v>915</v>
      </c>
      <c r="D64" s="230" t="s">
        <v>249</v>
      </c>
      <c r="E64" s="903">
        <f t="shared" si="2"/>
        <v>927.68079800498754</v>
      </c>
      <c r="F64" s="230">
        <v>16</v>
      </c>
      <c r="G64" s="905">
        <f t="shared" si="3"/>
        <v>14842.892768079801</v>
      </c>
    </row>
    <row r="65" spans="2:9" ht="15" thickBot="1">
      <c r="B65" s="124" t="s">
        <v>918</v>
      </c>
      <c r="C65" s="192" t="s">
        <v>249</v>
      </c>
      <c r="D65" s="192" t="s">
        <v>249</v>
      </c>
      <c r="E65" s="903">
        <f t="shared" si="2"/>
        <v>538.65336658354113</v>
      </c>
      <c r="F65" s="1360">
        <v>1</v>
      </c>
      <c r="G65" s="905">
        <f t="shared" si="3"/>
        <v>538.65336658354113</v>
      </c>
    </row>
    <row r="66" spans="2:9" ht="15" thickBot="1">
      <c r="B66" s="231"/>
      <c r="C66" s="232"/>
      <c r="D66" s="232"/>
      <c r="E66" s="1389" t="s">
        <v>147</v>
      </c>
      <c r="F66" s="1390"/>
      <c r="G66" s="906">
        <f>SUM(G47:G65)</f>
        <v>137805.08728179554</v>
      </c>
      <c r="I66" s="194"/>
    </row>
    <row r="67" spans="2:9" ht="15" thickBot="1">
      <c r="B67" s="1692"/>
      <c r="C67" s="1693"/>
      <c r="D67" s="1693"/>
      <c r="E67" s="1693"/>
      <c r="F67" s="1693"/>
      <c r="G67" s="1694"/>
    </row>
    <row r="68" spans="2:9" ht="19.899999999999999" customHeight="1" thickBot="1">
      <c r="B68" s="1622" t="s">
        <v>959</v>
      </c>
      <c r="C68" s="1483"/>
      <c r="D68" s="1483"/>
      <c r="E68" s="1483"/>
      <c r="F68" s="1483"/>
      <c r="G68" s="1623"/>
    </row>
    <row r="69" spans="2:9" ht="19.899999999999999" customHeight="1">
      <c r="B69" s="272" t="s">
        <v>868</v>
      </c>
      <c r="C69" s="227" t="s">
        <v>869</v>
      </c>
      <c r="D69" s="227" t="s">
        <v>309</v>
      </c>
      <c r="E69" s="227" t="s">
        <v>482</v>
      </c>
      <c r="F69" s="227" t="s">
        <v>227</v>
      </c>
      <c r="G69" s="490" t="s">
        <v>484</v>
      </c>
    </row>
    <row r="70" spans="2:9">
      <c r="B70" s="124" t="s">
        <v>919</v>
      </c>
      <c r="C70" s="1360" t="s">
        <v>249</v>
      </c>
      <c r="D70" s="1360" t="s">
        <v>249</v>
      </c>
      <c r="E70" s="903">
        <f t="shared" ref="E70:E87" si="4">VLOOKUP(B70,$B$6:$J$42,5,FALSE)</f>
        <v>239.40149625935163</v>
      </c>
      <c r="F70" s="1360">
        <v>3</v>
      </c>
      <c r="G70" s="907">
        <f>E70*F70</f>
        <v>718.20448877805484</v>
      </c>
      <c r="H70" s="256"/>
    </row>
    <row r="71" spans="2:9">
      <c r="B71" s="124" t="s">
        <v>920</v>
      </c>
      <c r="C71" s="1360" t="s">
        <v>249</v>
      </c>
      <c r="D71" s="1360" t="s">
        <v>249</v>
      </c>
      <c r="E71" s="903">
        <f t="shared" si="4"/>
        <v>334.16458852867828</v>
      </c>
      <c r="F71" s="1360">
        <v>1</v>
      </c>
      <c r="G71" s="907">
        <f t="shared" ref="G71:G87" si="5">E71*F71</f>
        <v>334.16458852867828</v>
      </c>
      <c r="H71" s="256"/>
    </row>
    <row r="72" spans="2:9">
      <c r="B72" s="124" t="s">
        <v>921</v>
      </c>
      <c r="C72" s="1360" t="s">
        <v>249</v>
      </c>
      <c r="D72" s="1360" t="s">
        <v>249</v>
      </c>
      <c r="E72" s="903">
        <f t="shared" si="4"/>
        <v>62.8428927680798</v>
      </c>
      <c r="F72" s="1360">
        <v>6</v>
      </c>
      <c r="G72" s="907">
        <f t="shared" si="5"/>
        <v>377.05735660847881</v>
      </c>
      <c r="H72" s="256"/>
    </row>
    <row r="73" spans="2:9">
      <c r="B73" s="124" t="s">
        <v>922</v>
      </c>
      <c r="C73" s="1360" t="s">
        <v>249</v>
      </c>
      <c r="D73" s="1360" t="s">
        <v>249</v>
      </c>
      <c r="E73" s="903">
        <f t="shared" si="4"/>
        <v>167.58104738154614</v>
      </c>
      <c r="F73" s="1360">
        <v>1</v>
      </c>
      <c r="G73" s="907">
        <f t="shared" si="5"/>
        <v>167.58104738154614</v>
      </c>
      <c r="H73" s="256"/>
    </row>
    <row r="74" spans="2:9">
      <c r="B74" s="124" t="s">
        <v>924</v>
      </c>
      <c r="C74" s="1360" t="s">
        <v>925</v>
      </c>
      <c r="D74" s="1360" t="s">
        <v>249</v>
      </c>
      <c r="E74" s="903">
        <f t="shared" si="4"/>
        <v>131.67082294264338</v>
      </c>
      <c r="F74" s="1360">
        <v>3</v>
      </c>
      <c r="G74" s="907">
        <f t="shared" si="5"/>
        <v>395.01246882793015</v>
      </c>
      <c r="H74" s="256"/>
    </row>
    <row r="75" spans="2:9">
      <c r="B75" s="124" t="s">
        <v>926</v>
      </c>
      <c r="C75" s="1360" t="s">
        <v>927</v>
      </c>
      <c r="D75" s="1360" t="s">
        <v>928</v>
      </c>
      <c r="E75" s="903">
        <f t="shared" si="4"/>
        <v>139.6508728179551</v>
      </c>
      <c r="F75" s="1360">
        <v>2</v>
      </c>
      <c r="G75" s="907">
        <f t="shared" si="5"/>
        <v>279.30174563591021</v>
      </c>
      <c r="H75" s="256"/>
    </row>
    <row r="76" spans="2:9">
      <c r="B76" s="124" t="s">
        <v>929</v>
      </c>
      <c r="C76" s="1360" t="s">
        <v>927</v>
      </c>
      <c r="D76" s="1360" t="s">
        <v>930</v>
      </c>
      <c r="E76" s="903">
        <f t="shared" si="4"/>
        <v>277.30673316708231</v>
      </c>
      <c r="F76" s="1360">
        <v>1</v>
      </c>
      <c r="G76" s="907">
        <f t="shared" si="5"/>
        <v>277.30673316708231</v>
      </c>
      <c r="H76" s="256"/>
    </row>
    <row r="77" spans="2:9">
      <c r="B77" s="124" t="s">
        <v>931</v>
      </c>
      <c r="C77" s="1360" t="s">
        <v>932</v>
      </c>
      <c r="D77" s="1360" t="s">
        <v>933</v>
      </c>
      <c r="E77" s="903">
        <f t="shared" si="4"/>
        <v>661.34663341645887</v>
      </c>
      <c r="F77" s="1360">
        <v>3</v>
      </c>
      <c r="G77" s="907">
        <f t="shared" si="5"/>
        <v>1984.0399002493766</v>
      </c>
      <c r="H77" s="256"/>
    </row>
    <row r="78" spans="2:9">
      <c r="B78" s="124" t="s">
        <v>934</v>
      </c>
      <c r="C78" s="1360" t="s">
        <v>935</v>
      </c>
      <c r="D78" s="1360" t="s">
        <v>936</v>
      </c>
      <c r="E78" s="903">
        <f t="shared" si="4"/>
        <v>648.37905236907727</v>
      </c>
      <c r="F78" s="1360">
        <v>2</v>
      </c>
      <c r="G78" s="907">
        <f t="shared" si="5"/>
        <v>1296.7581047381545</v>
      </c>
      <c r="H78" s="256"/>
    </row>
    <row r="79" spans="2:9">
      <c r="B79" s="124" t="s">
        <v>937</v>
      </c>
      <c r="C79" s="1360" t="s">
        <v>938</v>
      </c>
      <c r="D79" s="1360" t="s">
        <v>249</v>
      </c>
      <c r="E79" s="903">
        <f t="shared" si="4"/>
        <v>168.57855361596009</v>
      </c>
      <c r="F79" s="1360">
        <v>1</v>
      </c>
      <c r="G79" s="907">
        <f t="shared" si="5"/>
        <v>168.57855361596009</v>
      </c>
      <c r="H79" s="256"/>
    </row>
    <row r="80" spans="2:9">
      <c r="B80" s="124" t="s">
        <v>939</v>
      </c>
      <c r="C80" s="1360" t="s">
        <v>249</v>
      </c>
      <c r="D80" s="1360" t="s">
        <v>249</v>
      </c>
      <c r="E80" s="903">
        <f t="shared" si="4"/>
        <v>81.795511221945134</v>
      </c>
      <c r="F80" s="1360">
        <v>1</v>
      </c>
      <c r="G80" s="907">
        <f t="shared" si="5"/>
        <v>81.795511221945134</v>
      </c>
      <c r="H80" s="256"/>
    </row>
    <row r="81" spans="2:14">
      <c r="B81" s="124" t="s">
        <v>940</v>
      </c>
      <c r="C81" s="1360" t="s">
        <v>249</v>
      </c>
      <c r="D81" s="1360" t="s">
        <v>249</v>
      </c>
      <c r="E81" s="903">
        <f t="shared" si="4"/>
        <v>111.72069825436409</v>
      </c>
      <c r="F81" s="1360">
        <v>1</v>
      </c>
      <c r="G81" s="907">
        <f t="shared" si="5"/>
        <v>111.72069825436409</v>
      </c>
      <c r="H81" s="256"/>
    </row>
    <row r="82" spans="2:14">
      <c r="B82" s="124" t="s">
        <v>562</v>
      </c>
      <c r="C82" s="1360" t="s">
        <v>941</v>
      </c>
      <c r="D82" s="1360" t="s">
        <v>942</v>
      </c>
      <c r="E82" s="903">
        <f t="shared" si="4"/>
        <v>738.15461346633413</v>
      </c>
      <c r="F82" s="1360">
        <v>1</v>
      </c>
      <c r="G82" s="907">
        <f t="shared" si="5"/>
        <v>738.15461346633413</v>
      </c>
    </row>
    <row r="83" spans="2:14">
      <c r="B83" s="124" t="s">
        <v>943</v>
      </c>
      <c r="C83" s="1360" t="s">
        <v>944</v>
      </c>
      <c r="D83" s="1360" t="s">
        <v>945</v>
      </c>
      <c r="E83" s="903">
        <f t="shared" si="4"/>
        <v>613.46633416458849</v>
      </c>
      <c r="F83" s="1360">
        <v>1</v>
      </c>
      <c r="G83" s="907">
        <f t="shared" si="5"/>
        <v>613.46633416458849</v>
      </c>
    </row>
    <row r="84" spans="2:14">
      <c r="B84" s="124" t="s">
        <v>946</v>
      </c>
      <c r="C84" s="1360" t="s">
        <v>947</v>
      </c>
      <c r="D84" s="1360" t="s">
        <v>948</v>
      </c>
      <c r="E84" s="903">
        <f t="shared" si="4"/>
        <v>239.40149625935163</v>
      </c>
      <c r="F84" s="1360">
        <v>1</v>
      </c>
      <c r="G84" s="907">
        <f t="shared" si="5"/>
        <v>239.40149625935163</v>
      </c>
    </row>
    <row r="85" spans="2:14">
      <c r="B85" s="124" t="s">
        <v>949</v>
      </c>
      <c r="C85" s="1360" t="s">
        <v>950</v>
      </c>
      <c r="D85" s="1360" t="s">
        <v>951</v>
      </c>
      <c r="E85" s="903">
        <f t="shared" si="4"/>
        <v>297.2568578553616</v>
      </c>
      <c r="F85" s="1360">
        <v>1</v>
      </c>
      <c r="G85" s="907">
        <f t="shared" si="5"/>
        <v>297.2568578553616</v>
      </c>
    </row>
    <row r="86" spans="2:14">
      <c r="B86" s="229" t="s">
        <v>287</v>
      </c>
      <c r="C86" s="1360" t="s">
        <v>952</v>
      </c>
      <c r="D86" s="230" t="s">
        <v>953</v>
      </c>
      <c r="E86" s="903">
        <f t="shared" si="4"/>
        <v>250.37406483790522</v>
      </c>
      <c r="F86" s="230">
        <v>1</v>
      </c>
      <c r="G86" s="907">
        <f t="shared" si="5"/>
        <v>250.37406483790522</v>
      </c>
    </row>
    <row r="87" spans="2:14" ht="15" thickBot="1">
      <c r="B87" s="125" t="s">
        <v>954</v>
      </c>
      <c r="C87" s="1367" t="s">
        <v>249</v>
      </c>
      <c r="D87" s="1367" t="s">
        <v>249</v>
      </c>
      <c r="E87" s="903">
        <f t="shared" si="4"/>
        <v>625.43640897755608</v>
      </c>
      <c r="F87" s="1367">
        <v>1</v>
      </c>
      <c r="G87" s="907">
        <f t="shared" si="5"/>
        <v>625.43640897755608</v>
      </c>
    </row>
    <row r="88" spans="2:14" ht="15" thickBot="1">
      <c r="B88" s="231"/>
      <c r="C88" s="232"/>
      <c r="D88" s="866"/>
      <c r="E88" s="1469" t="s">
        <v>147</v>
      </c>
      <c r="F88" s="1471"/>
      <c r="G88" s="906">
        <f>SUM(G70:G87)</f>
        <v>8955.6109725685765</v>
      </c>
    </row>
    <row r="89" spans="2:14" ht="15" thickBot="1">
      <c r="B89" s="153"/>
      <c r="E89" s="68"/>
      <c r="F89" s="68"/>
      <c r="G89" s="256"/>
    </row>
    <row r="90" spans="2:14" ht="15" thickBot="1">
      <c r="B90" s="1622" t="s">
        <v>960</v>
      </c>
      <c r="C90" s="1483"/>
      <c r="D90" s="1483"/>
      <c r="E90" s="1483"/>
      <c r="F90" s="1483"/>
      <c r="G90" s="1623"/>
    </row>
    <row r="91" spans="2:14" ht="15" thickBot="1">
      <c r="B91" s="1646" t="s">
        <v>961</v>
      </c>
      <c r="C91" s="1647"/>
      <c r="D91" s="1647"/>
      <c r="E91" s="1647"/>
      <c r="F91" s="1699"/>
      <c r="G91" s="1348" t="s">
        <v>484</v>
      </c>
    </row>
    <row r="92" spans="2:14">
      <c r="B92" s="1700" t="s">
        <v>962</v>
      </c>
      <c r="C92" s="1701"/>
      <c r="D92" s="1701"/>
      <c r="E92" s="1701"/>
      <c r="F92" s="1701"/>
      <c r="G92" s="870">
        <f>'2.1 - Iluminacion'!E39</f>
        <v>4996.8329177057358</v>
      </c>
      <c r="L92" s="256"/>
      <c r="M92" s="1293"/>
    </row>
    <row r="93" spans="2:14">
      <c r="B93" s="1702" t="s">
        <v>963</v>
      </c>
      <c r="C93" s="1703"/>
      <c r="D93" s="1703"/>
      <c r="E93" s="1703"/>
      <c r="F93" s="1703"/>
      <c r="G93" s="1077">
        <f>'2.2 - Refrigeracion'!E115</f>
        <v>3329.8254364089776</v>
      </c>
      <c r="L93" s="1296"/>
      <c r="M93" s="1293"/>
      <c r="N93" s="1296"/>
    </row>
    <row r="94" spans="2:14">
      <c r="B94" s="1702" t="s">
        <v>964</v>
      </c>
      <c r="C94" s="1703"/>
      <c r="D94" s="1703"/>
      <c r="E94" s="1703"/>
      <c r="F94" s="1703"/>
      <c r="G94" s="1077">
        <f>'2.3 - Incendio'!E130</f>
        <v>8755.3855361596015</v>
      </c>
      <c r="M94" s="1293"/>
      <c r="N94" s="1297"/>
    </row>
    <row r="95" spans="2:14">
      <c r="B95" s="1702" t="s">
        <v>965</v>
      </c>
      <c r="C95" s="1703"/>
      <c r="D95" s="1703"/>
      <c r="E95" s="1703"/>
      <c r="F95" s="1703"/>
      <c r="G95" s="1077">
        <f>'2.4 - Ventilacion'!E35</f>
        <v>6312.8658354114714</v>
      </c>
      <c r="L95" s="194"/>
      <c r="M95" s="1293"/>
    </row>
    <row r="96" spans="2:14">
      <c r="B96" s="1702" t="s">
        <v>966</v>
      </c>
      <c r="C96" s="1703"/>
      <c r="D96" s="1703"/>
      <c r="E96" s="1703"/>
      <c r="F96" s="1703"/>
      <c r="G96" s="1077">
        <f>'2.5 - Agua'!E31</f>
        <v>20404.009975062345</v>
      </c>
      <c r="L96" s="211"/>
    </row>
    <row r="97" spans="2:7">
      <c r="B97" s="1702" t="s">
        <v>967</v>
      </c>
      <c r="C97" s="1703"/>
      <c r="D97" s="1703"/>
      <c r="E97" s="1703"/>
      <c r="F97" s="1703"/>
      <c r="G97" s="1077">
        <f>'2.6 - Aire'!F37</f>
        <v>22399.554862842891</v>
      </c>
    </row>
    <row r="98" spans="2:7" ht="15" thickBot="1">
      <c r="B98" s="1704" t="s">
        <v>968</v>
      </c>
      <c r="C98" s="1705"/>
      <c r="D98" s="1705"/>
      <c r="E98" s="1705"/>
      <c r="F98" s="1705"/>
      <c r="G98" s="868">
        <f>'2.7 -Potencia '!F58</f>
        <v>20868.819950124689</v>
      </c>
    </row>
    <row r="99" spans="2:7">
      <c r="B99" s="153"/>
      <c r="E99" s="1697" t="s">
        <v>969</v>
      </c>
      <c r="F99" s="1698"/>
      <c r="G99" s="869">
        <f>SUM(G92:G98)</f>
        <v>87067.294513715708</v>
      </c>
    </row>
    <row r="100" spans="2:7" ht="15" thickBot="1">
      <c r="B100" s="867"/>
      <c r="C100" s="137"/>
      <c r="D100" s="137"/>
      <c r="E100" s="1534" t="s">
        <v>970</v>
      </c>
      <c r="F100" s="1535"/>
      <c r="G100" s="908">
        <f>SUM(G66+G88+G99)</f>
        <v>233827.9927680798</v>
      </c>
    </row>
    <row r="101" spans="2:7" ht="15" thickBot="1"/>
    <row r="102" spans="2:7">
      <c r="B102" s="1689" t="s">
        <v>971</v>
      </c>
      <c r="C102" s="1690"/>
      <c r="D102" s="1690"/>
      <c r="E102" s="1690"/>
      <c r="F102" s="1690"/>
      <c r="G102" s="1691"/>
    </row>
    <row r="103" spans="2:7" ht="15" thickBot="1">
      <c r="B103" s="1692" t="s">
        <v>972</v>
      </c>
      <c r="C103" s="1693"/>
      <c r="D103" s="1693"/>
      <c r="E103" s="1693"/>
      <c r="F103" s="1693"/>
      <c r="G103" s="1694"/>
    </row>
    <row r="104" spans="2:7" ht="15" thickBot="1"/>
    <row r="105" spans="2:7" ht="15" thickBot="1">
      <c r="B105" s="1689" t="s">
        <v>973</v>
      </c>
      <c r="C105" s="1690"/>
      <c r="D105" s="1690"/>
      <c r="E105" s="1690"/>
      <c r="F105" s="1690"/>
      <c r="G105" s="1691"/>
    </row>
    <row r="106" spans="2:7" ht="15" thickBot="1">
      <c r="B106" s="1350" t="s">
        <v>868</v>
      </c>
      <c r="C106" s="1323" t="s">
        <v>869</v>
      </c>
      <c r="D106" s="1323" t="s">
        <v>309</v>
      </c>
      <c r="E106" s="1323" t="s">
        <v>482</v>
      </c>
      <c r="F106" s="1323" t="s">
        <v>227</v>
      </c>
      <c r="G106" s="1351" t="s">
        <v>484</v>
      </c>
    </row>
    <row r="107" spans="2:7">
      <c r="B107" s="157" t="s">
        <v>876</v>
      </c>
      <c r="C107" s="1358" t="s">
        <v>974</v>
      </c>
      <c r="D107" s="1358" t="s">
        <v>878</v>
      </c>
      <c r="E107" s="911">
        <f>VLOOKUP(B107,$B$6:$J$42,7,FALSE)</f>
        <v>75687.321875311725</v>
      </c>
      <c r="F107" s="1358">
        <v>1</v>
      </c>
      <c r="G107" s="913">
        <f t="shared" ref="G107:G112" si="6">+E107*F107</f>
        <v>75687.321875311725</v>
      </c>
    </row>
    <row r="108" spans="2:7">
      <c r="B108" s="124" t="s">
        <v>879</v>
      </c>
      <c r="C108" s="192" t="s">
        <v>249</v>
      </c>
      <c r="D108" s="192" t="s">
        <v>249</v>
      </c>
      <c r="E108" s="903">
        <f t="shared" ref="E108:E124" si="7">VLOOKUP(B108,$B$6:$J$42,7,FALSE)</f>
        <v>7970.3766583541146</v>
      </c>
      <c r="F108" s="1360">
        <v>2</v>
      </c>
      <c r="G108" s="907">
        <f t="shared" si="6"/>
        <v>15940.753316708229</v>
      </c>
    </row>
    <row r="109" spans="2:7">
      <c r="B109" s="124" t="s">
        <v>510</v>
      </c>
      <c r="C109" s="1360" t="s">
        <v>880</v>
      </c>
      <c r="D109" s="1360" t="s">
        <v>881</v>
      </c>
      <c r="E109" s="903">
        <f t="shared" si="7"/>
        <v>8142.2867431421455</v>
      </c>
      <c r="F109" s="1360">
        <v>1</v>
      </c>
      <c r="G109" s="907">
        <f t="shared" si="6"/>
        <v>8142.2867431421455</v>
      </c>
    </row>
    <row r="110" spans="2:7">
      <c r="B110" s="124" t="s">
        <v>882</v>
      </c>
      <c r="C110" s="1360" t="s">
        <v>883</v>
      </c>
      <c r="D110" s="1360" t="s">
        <v>884</v>
      </c>
      <c r="E110" s="903">
        <f t="shared" si="7"/>
        <v>5159.8030539650881</v>
      </c>
      <c r="F110" s="1360">
        <v>1</v>
      </c>
      <c r="G110" s="907">
        <f t="shared" si="6"/>
        <v>5159.8030539650881</v>
      </c>
    </row>
    <row r="111" spans="2:7">
      <c r="B111" s="124" t="s">
        <v>890</v>
      </c>
      <c r="C111" s="192" t="s">
        <v>891</v>
      </c>
      <c r="D111" s="192" t="s">
        <v>892</v>
      </c>
      <c r="E111" s="903">
        <f t="shared" si="7"/>
        <v>120.85799900249378</v>
      </c>
      <c r="F111" s="1360">
        <v>1</v>
      </c>
      <c r="G111" s="907">
        <f t="shared" si="6"/>
        <v>120.85799900249378</v>
      </c>
    </row>
    <row r="112" spans="2:7">
      <c r="B112" s="124" t="s">
        <v>909</v>
      </c>
      <c r="C112" s="192" t="s">
        <v>249</v>
      </c>
      <c r="D112" s="192" t="s">
        <v>249</v>
      </c>
      <c r="E112" s="903">
        <f t="shared" si="7"/>
        <v>37.507654862842891</v>
      </c>
      <c r="F112" s="1360">
        <v>1</v>
      </c>
      <c r="G112" s="907">
        <f t="shared" si="6"/>
        <v>37.507654862842891</v>
      </c>
    </row>
    <row r="113" spans="2:8">
      <c r="B113" s="124" t="s">
        <v>931</v>
      </c>
      <c r="C113" s="1360" t="s">
        <v>932</v>
      </c>
      <c r="D113" s="1360" t="s">
        <v>933</v>
      </c>
      <c r="E113" s="903">
        <f t="shared" si="7"/>
        <v>690.76597705735662</v>
      </c>
      <c r="F113" s="1360">
        <v>2</v>
      </c>
      <c r="G113" s="907">
        <f>E113*F113</f>
        <v>1381.5319541147132</v>
      </c>
      <c r="H113" s="256"/>
    </row>
    <row r="114" spans="2:8">
      <c r="B114" s="124" t="s">
        <v>934</v>
      </c>
      <c r="C114" s="1360"/>
      <c r="D114" s="1360"/>
      <c r="E114" s="903">
        <f t="shared" si="7"/>
        <v>677.22154613466341</v>
      </c>
      <c r="F114" s="1360">
        <v>1</v>
      </c>
      <c r="G114" s="907">
        <f>E114*F114</f>
        <v>677.22154613466341</v>
      </c>
      <c r="H114" s="256"/>
    </row>
    <row r="115" spans="2:8">
      <c r="B115" s="124" t="s">
        <v>919</v>
      </c>
      <c r="C115" s="1360" t="s">
        <v>249</v>
      </c>
      <c r="D115" s="1360" t="s">
        <v>249</v>
      </c>
      <c r="E115" s="903">
        <f t="shared" si="7"/>
        <v>250.05103241895262</v>
      </c>
      <c r="F115" s="1360">
        <v>2</v>
      </c>
      <c r="G115" s="907">
        <f>E115*F115</f>
        <v>500.10206483790523</v>
      </c>
      <c r="H115" s="256"/>
    </row>
    <row r="116" spans="2:8">
      <c r="B116" s="124" t="s">
        <v>937</v>
      </c>
      <c r="C116" s="1360" t="s">
        <v>938</v>
      </c>
      <c r="D116" s="1360" t="s">
        <v>249</v>
      </c>
      <c r="E116" s="903">
        <f t="shared" si="7"/>
        <v>176.07760199501246</v>
      </c>
      <c r="F116" s="1360">
        <v>1</v>
      </c>
      <c r="G116" s="907">
        <f>E116*F116</f>
        <v>176.07760199501246</v>
      </c>
      <c r="H116" s="256"/>
    </row>
    <row r="117" spans="2:8">
      <c r="B117" s="124" t="s">
        <v>924</v>
      </c>
      <c r="C117" s="1360" t="s">
        <v>925</v>
      </c>
      <c r="D117" s="1360" t="s">
        <v>249</v>
      </c>
      <c r="E117" s="903">
        <f t="shared" si="7"/>
        <v>137.52806783042394</v>
      </c>
      <c r="F117" s="1360">
        <v>2</v>
      </c>
      <c r="G117" s="907">
        <f t="shared" ref="G117:G123" si="8">E117*F117</f>
        <v>275.05613566084787</v>
      </c>
      <c r="H117" s="256"/>
    </row>
    <row r="118" spans="2:8">
      <c r="B118" s="124" t="s">
        <v>939</v>
      </c>
      <c r="C118" s="1360" t="s">
        <v>249</v>
      </c>
      <c r="D118" s="1360" t="s">
        <v>249</v>
      </c>
      <c r="E118" s="903">
        <f t="shared" si="7"/>
        <v>85.434102743142148</v>
      </c>
      <c r="F118" s="1360">
        <v>1</v>
      </c>
      <c r="G118" s="907">
        <f t="shared" si="8"/>
        <v>85.434102743142148</v>
      </c>
      <c r="H118" s="256"/>
    </row>
    <row r="119" spans="2:8">
      <c r="B119" s="124" t="s">
        <v>940</v>
      </c>
      <c r="C119" s="1360" t="s">
        <v>249</v>
      </c>
      <c r="D119" s="1360" t="s">
        <v>249</v>
      </c>
      <c r="E119" s="903">
        <f t="shared" si="7"/>
        <v>116.69048179551123</v>
      </c>
      <c r="F119" s="1360">
        <v>1</v>
      </c>
      <c r="G119" s="907">
        <f t="shared" si="8"/>
        <v>116.69048179551123</v>
      </c>
      <c r="H119" s="256"/>
    </row>
    <row r="120" spans="2:8">
      <c r="B120" s="124" t="s">
        <v>922</v>
      </c>
      <c r="C120" s="1360" t="s">
        <v>249</v>
      </c>
      <c r="D120" s="1360" t="s">
        <v>249</v>
      </c>
      <c r="E120" s="903">
        <f t="shared" si="7"/>
        <v>175.03572269326685</v>
      </c>
      <c r="F120" s="1360">
        <v>1</v>
      </c>
      <c r="G120" s="907">
        <f>E120*F120</f>
        <v>175.03572269326685</v>
      </c>
      <c r="H120" s="256"/>
    </row>
    <row r="121" spans="2:8">
      <c r="B121" s="229" t="s">
        <v>920</v>
      </c>
      <c r="C121" s="1360" t="s">
        <v>249</v>
      </c>
      <c r="D121" s="1360" t="s">
        <v>249</v>
      </c>
      <c r="E121" s="903">
        <f t="shared" si="7"/>
        <v>349.02956608478803</v>
      </c>
      <c r="F121" s="230">
        <v>1</v>
      </c>
      <c r="G121" s="983">
        <f t="shared" si="8"/>
        <v>349.02956608478803</v>
      </c>
      <c r="H121" s="256"/>
    </row>
    <row r="122" spans="2:8">
      <c r="B122" s="229" t="s">
        <v>921</v>
      </c>
      <c r="C122" s="230" t="s">
        <v>249</v>
      </c>
      <c r="D122" s="230" t="s">
        <v>249</v>
      </c>
      <c r="E122" s="903">
        <f t="shared" si="7"/>
        <v>65.638396009975068</v>
      </c>
      <c r="F122" s="230">
        <v>6</v>
      </c>
      <c r="G122" s="983">
        <f t="shared" si="8"/>
        <v>393.83037605985044</v>
      </c>
      <c r="H122" s="256"/>
    </row>
    <row r="123" spans="2:8">
      <c r="B123" s="229" t="s">
        <v>914</v>
      </c>
      <c r="C123" s="230" t="s">
        <v>915</v>
      </c>
      <c r="D123" s="230" t="s">
        <v>249</v>
      </c>
      <c r="E123" s="903">
        <f t="shared" si="7"/>
        <v>968.94775062344149</v>
      </c>
      <c r="F123" s="230">
        <v>14</v>
      </c>
      <c r="G123" s="983">
        <f t="shared" si="8"/>
        <v>13565.268508728181</v>
      </c>
      <c r="H123" t="s">
        <v>958</v>
      </c>
    </row>
    <row r="124" spans="2:8" ht="15" thickBot="1">
      <c r="B124" s="125" t="s">
        <v>954</v>
      </c>
      <c r="C124" s="1367" t="s">
        <v>249</v>
      </c>
      <c r="D124" s="1367" t="s">
        <v>249</v>
      </c>
      <c r="E124" s="912">
        <f t="shared" si="7"/>
        <v>653.25832219451377</v>
      </c>
      <c r="F124" s="1367">
        <v>1</v>
      </c>
      <c r="G124" s="909">
        <f>E124*F124</f>
        <v>653.25832219451377</v>
      </c>
      <c r="H124" s="256"/>
    </row>
    <row r="125" spans="2:8" ht="15" thickBot="1">
      <c r="E125" s="1687" t="s">
        <v>975</v>
      </c>
      <c r="F125" s="1688"/>
      <c r="G125" s="910">
        <f>SUM(G107:G124)</f>
        <v>123437.06702603493</v>
      </c>
    </row>
    <row r="126" spans="2:8" ht="15" thickBot="1"/>
    <row r="127" spans="2:8">
      <c r="B127" s="1689" t="s">
        <v>976</v>
      </c>
      <c r="C127" s="1690"/>
      <c r="D127" s="1690"/>
      <c r="E127" s="1690"/>
      <c r="F127" s="1690"/>
      <c r="G127" s="1691"/>
    </row>
    <row r="128" spans="2:8" ht="15" thickBot="1">
      <c r="B128" s="1692" t="s">
        <v>972</v>
      </c>
      <c r="C128" s="1693"/>
      <c r="D128" s="1693"/>
      <c r="E128" s="1693"/>
      <c r="F128" s="1693"/>
      <c r="G128" s="1694"/>
    </row>
    <row r="129" spans="1:8" ht="15" thickBot="1"/>
    <row r="130" spans="1:8" ht="15" thickBot="1">
      <c r="B130" s="1622" t="s">
        <v>977</v>
      </c>
      <c r="C130" s="1483"/>
      <c r="D130" s="1483"/>
      <c r="E130" s="1483"/>
      <c r="F130" s="1483"/>
      <c r="G130" s="1623"/>
    </row>
    <row r="131" spans="1:8" ht="15" thickBot="1">
      <c r="B131" s="1350" t="s">
        <v>868</v>
      </c>
      <c r="C131" s="1323" t="s">
        <v>869</v>
      </c>
      <c r="D131" s="1323" t="s">
        <v>309</v>
      </c>
      <c r="E131" s="1323" t="s">
        <v>482</v>
      </c>
      <c r="F131" s="1323" t="s">
        <v>227</v>
      </c>
      <c r="G131" s="1351" t="s">
        <v>484</v>
      </c>
    </row>
    <row r="132" spans="1:8">
      <c r="B132" s="157" t="s">
        <v>893</v>
      </c>
      <c r="C132" s="871" t="s">
        <v>894</v>
      </c>
      <c r="D132" s="871" t="s">
        <v>895</v>
      </c>
      <c r="E132" s="911">
        <f>VLOOKUP(B132,$B$6:$J$42,9,FALSE)</f>
        <v>88.146327108963618</v>
      </c>
      <c r="F132" s="1358">
        <v>1</v>
      </c>
      <c r="G132" s="913">
        <f t="shared" ref="G132:G141" si="9">+E132*F132</f>
        <v>88.146327108963618</v>
      </c>
    </row>
    <row r="133" spans="1:8">
      <c r="B133" s="124" t="s">
        <v>896</v>
      </c>
      <c r="C133" s="192" t="s">
        <v>897</v>
      </c>
      <c r="D133" s="192" t="s">
        <v>249</v>
      </c>
      <c r="E133" s="1106">
        <f t="shared" ref="E133:E141" si="10">VLOOKUP(B133,$B$6:$J$42,9,FALSE)</f>
        <v>19.588072690880797</v>
      </c>
      <c r="F133" s="1360">
        <v>1</v>
      </c>
      <c r="G133" s="907">
        <f t="shared" si="9"/>
        <v>19.588072690880797</v>
      </c>
    </row>
    <row r="134" spans="1:8">
      <c r="B134" s="124" t="s">
        <v>898</v>
      </c>
      <c r="C134" s="192" t="s">
        <v>899</v>
      </c>
      <c r="D134" s="192" t="s">
        <v>900</v>
      </c>
      <c r="E134" s="1106">
        <f t="shared" si="10"/>
        <v>235.05687229056963</v>
      </c>
      <c r="F134" s="1360">
        <v>1</v>
      </c>
      <c r="G134" s="907">
        <f t="shared" si="9"/>
        <v>235.05687229056963</v>
      </c>
    </row>
    <row r="135" spans="1:8">
      <c r="B135" s="124" t="s">
        <v>901</v>
      </c>
      <c r="C135" s="192" t="s">
        <v>902</v>
      </c>
      <c r="D135" s="192" t="s">
        <v>903</v>
      </c>
      <c r="E135" s="1106">
        <f t="shared" si="10"/>
        <v>167.58684413309129</v>
      </c>
      <c r="F135" s="1360">
        <v>1</v>
      </c>
      <c r="G135" s="907">
        <f t="shared" si="9"/>
        <v>167.58684413309129</v>
      </c>
    </row>
    <row r="136" spans="1:8">
      <c r="B136" s="124" t="s">
        <v>912</v>
      </c>
      <c r="C136" s="1360" t="s">
        <v>978</v>
      </c>
      <c r="D136" s="1360" t="s">
        <v>979</v>
      </c>
      <c r="E136" s="1106">
        <f t="shared" si="10"/>
        <v>23.288041976936061</v>
      </c>
      <c r="F136" s="1360">
        <v>1</v>
      </c>
      <c r="G136" s="907">
        <f>+E136*F136</f>
        <v>23.288041976936061</v>
      </c>
    </row>
    <row r="137" spans="1:8">
      <c r="B137" s="124" t="s">
        <v>931</v>
      </c>
      <c r="C137" s="1360" t="s">
        <v>932</v>
      </c>
      <c r="D137" s="1360" t="s">
        <v>933</v>
      </c>
      <c r="E137" s="1106">
        <f t="shared" si="10"/>
        <v>721.49401078077608</v>
      </c>
      <c r="F137" s="1360">
        <v>1</v>
      </c>
      <c r="G137" s="907">
        <f>E137*F137</f>
        <v>721.49401078077608</v>
      </c>
      <c r="H137" s="256"/>
    </row>
    <row r="138" spans="1:8">
      <c r="B138" s="124" t="s">
        <v>919</v>
      </c>
      <c r="C138" s="1360" t="s">
        <v>249</v>
      </c>
      <c r="D138" s="1360" t="s">
        <v>249</v>
      </c>
      <c r="E138" s="1106">
        <f t="shared" si="10"/>
        <v>261.1743025450773</v>
      </c>
      <c r="F138" s="1360">
        <v>1</v>
      </c>
      <c r="G138" s="907">
        <f>E138*F138</f>
        <v>261.1743025450773</v>
      </c>
      <c r="H138" s="256"/>
    </row>
    <row r="139" spans="1:8">
      <c r="B139" s="124" t="s">
        <v>924</v>
      </c>
      <c r="C139" s="1360" t="s">
        <v>925</v>
      </c>
      <c r="D139" s="1360" t="s">
        <v>249</v>
      </c>
      <c r="E139" s="1106">
        <f t="shared" si="10"/>
        <v>143.64586639979251</v>
      </c>
      <c r="F139" s="1360">
        <v>1</v>
      </c>
      <c r="G139" s="907">
        <f>E139*F139</f>
        <v>143.64586639979251</v>
      </c>
      <c r="H139" s="256"/>
    </row>
    <row r="140" spans="1:8">
      <c r="B140" s="124" t="s">
        <v>939</v>
      </c>
      <c r="C140" s="1360" t="s">
        <v>249</v>
      </c>
      <c r="D140" s="1360" t="s">
        <v>249</v>
      </c>
      <c r="E140" s="1106">
        <f t="shared" si="10"/>
        <v>89.23455336956809</v>
      </c>
      <c r="F140" s="1360">
        <v>2</v>
      </c>
      <c r="G140" s="907">
        <f t="shared" si="9"/>
        <v>178.46910673913618</v>
      </c>
      <c r="H140" s="256"/>
    </row>
    <row r="141" spans="1:8" ht="15" thickBot="1">
      <c r="B141" s="125" t="s">
        <v>940</v>
      </c>
      <c r="C141" s="1367" t="s">
        <v>249</v>
      </c>
      <c r="D141" s="1367" t="s">
        <v>249</v>
      </c>
      <c r="E141" s="1107">
        <f t="shared" si="10"/>
        <v>121.88134118770276</v>
      </c>
      <c r="F141" s="1367">
        <v>2</v>
      </c>
      <c r="G141" s="909">
        <f t="shared" si="9"/>
        <v>243.76268237540552</v>
      </c>
      <c r="H141" s="256"/>
    </row>
    <row r="142" spans="1:8" ht="15" thickBot="1">
      <c r="E142" s="1687" t="s">
        <v>980</v>
      </c>
      <c r="F142" s="1688"/>
      <c r="G142" s="910">
        <f>SUM(G132:G141)</f>
        <v>2082.2121270406287</v>
      </c>
    </row>
    <row r="144" spans="1:8" ht="15" thickBot="1">
      <c r="A144" s="139"/>
      <c r="C144" s="1305"/>
      <c r="D144" s="1305"/>
      <c r="E144" s="1305"/>
      <c r="F144" s="1305"/>
      <c r="G144" s="1305"/>
    </row>
    <row r="145" spans="1:41" ht="15" thickBot="1">
      <c r="A145" s="1305"/>
      <c r="B145" s="1472" t="s">
        <v>981</v>
      </c>
      <c r="C145" s="1474"/>
      <c r="D145" s="1305"/>
      <c r="E145" s="1305"/>
      <c r="F145" s="1305"/>
      <c r="G145" s="1305"/>
    </row>
    <row r="146" spans="1:41" ht="15" thickBot="1">
      <c r="B146" s="1333" t="s">
        <v>50</v>
      </c>
      <c r="C146" s="233" t="s">
        <v>982</v>
      </c>
    </row>
    <row r="147" spans="1:41">
      <c r="B147" s="181">
        <v>2024</v>
      </c>
      <c r="C147" s="914">
        <f>G100</f>
        <v>233827.9927680798</v>
      </c>
    </row>
    <row r="148" spans="1:41">
      <c r="B148" s="182">
        <v>2025</v>
      </c>
      <c r="C148" s="915">
        <f>0</f>
        <v>0</v>
      </c>
    </row>
    <row r="149" spans="1:41">
      <c r="B149" s="182">
        <v>2026</v>
      </c>
      <c r="C149" s="915">
        <f>G125</f>
        <v>123437.06702603493</v>
      </c>
    </row>
    <row r="150" spans="1:41">
      <c r="B150" s="182">
        <v>2027</v>
      </c>
      <c r="C150" s="915">
        <f>0</f>
        <v>0</v>
      </c>
    </row>
    <row r="151" spans="1:41" ht="15" thickBot="1">
      <c r="B151" s="183">
        <v>2028</v>
      </c>
      <c r="C151" s="916">
        <f>G142</f>
        <v>2082.2121270406287</v>
      </c>
    </row>
    <row r="152" spans="1:41" ht="15" thickBot="1">
      <c r="B152" s="234" t="s">
        <v>147</v>
      </c>
      <c r="C152" s="917">
        <f>SUM(C147:C151)</f>
        <v>359347.27192115533</v>
      </c>
    </row>
    <row r="154" spans="1:41">
      <c r="B154" t="s">
        <v>983</v>
      </c>
    </row>
    <row r="155" spans="1:41" ht="15" thickBot="1"/>
    <row r="156" spans="1:41" ht="15" thickBot="1">
      <c r="B156" s="1350" t="s">
        <v>868</v>
      </c>
      <c r="C156" s="1323" t="s">
        <v>869</v>
      </c>
      <c r="D156" s="276" t="s">
        <v>309</v>
      </c>
      <c r="E156" s="1469" t="s">
        <v>170</v>
      </c>
      <c r="F156" s="1470"/>
      <c r="G156" s="1470"/>
      <c r="H156" s="1470"/>
      <c r="I156" s="1470"/>
      <c r="J156" s="1470"/>
      <c r="K156" s="1470"/>
      <c r="L156" s="1470"/>
      <c r="M156" s="1470"/>
      <c r="N156" s="1470"/>
      <c r="O156" s="1470"/>
      <c r="P156" s="1470"/>
      <c r="Q156" s="1470"/>
      <c r="R156" s="1470"/>
      <c r="S156" s="1470"/>
      <c r="T156" s="1470"/>
      <c r="U156" s="1470"/>
      <c r="V156" s="1470"/>
      <c r="W156" s="1470"/>
      <c r="X156" s="1470"/>
      <c r="Y156" s="1470"/>
      <c r="Z156" s="1470"/>
      <c r="AA156" s="1470"/>
      <c r="AB156" s="1470"/>
      <c r="AC156" s="1470"/>
      <c r="AD156" s="1470"/>
      <c r="AE156" s="1470"/>
      <c r="AF156" s="1470"/>
      <c r="AG156" s="1470"/>
      <c r="AH156" s="1470"/>
      <c r="AI156" s="1470"/>
      <c r="AJ156" s="1470"/>
      <c r="AK156" s="1470"/>
      <c r="AL156" s="1470"/>
      <c r="AM156" s="1470"/>
      <c r="AN156" s="1470"/>
      <c r="AO156" s="1471"/>
    </row>
    <row r="157" spans="1:41">
      <c r="B157" s="132" t="s">
        <v>876</v>
      </c>
      <c r="C157" s="131" t="s">
        <v>877</v>
      </c>
      <c r="D157" s="131" t="s">
        <v>878</v>
      </c>
      <c r="E157" s="1684" t="s">
        <v>984</v>
      </c>
      <c r="F157" s="1685"/>
      <c r="G157" s="1685"/>
      <c r="H157" s="1685"/>
      <c r="I157" s="1685"/>
      <c r="J157" s="1685"/>
      <c r="K157" s="1685"/>
      <c r="L157" s="1685"/>
      <c r="M157" s="1685"/>
      <c r="N157" s="1685"/>
      <c r="O157" s="1685"/>
      <c r="P157" s="1685"/>
      <c r="Q157" s="1685"/>
      <c r="R157" s="1685"/>
      <c r="S157" s="1685"/>
      <c r="T157" s="1685"/>
      <c r="U157" s="1685"/>
      <c r="V157" s="1685"/>
      <c r="W157" s="1685"/>
      <c r="X157" s="1685"/>
      <c r="Y157" s="1685"/>
      <c r="Z157" s="1685"/>
      <c r="AA157" s="1685"/>
      <c r="AB157" s="1685"/>
      <c r="AC157" s="1685"/>
      <c r="AD157" s="1685"/>
      <c r="AE157" s="1685"/>
      <c r="AF157" s="1685"/>
      <c r="AG157" s="1685"/>
      <c r="AH157" s="1685"/>
      <c r="AI157" s="1685"/>
      <c r="AJ157" s="1685"/>
      <c r="AK157" s="1685"/>
      <c r="AL157" s="1685"/>
      <c r="AM157" s="1685"/>
      <c r="AN157" s="1685"/>
      <c r="AO157" s="1686"/>
    </row>
    <row r="158" spans="1:41">
      <c r="B158" s="124" t="s">
        <v>879</v>
      </c>
      <c r="C158" s="192" t="s">
        <v>249</v>
      </c>
      <c r="D158" s="192" t="s">
        <v>249</v>
      </c>
      <c r="E158" s="1683" t="s">
        <v>985</v>
      </c>
      <c r="F158" s="1681"/>
      <c r="G158" s="1681"/>
      <c r="H158" s="1681"/>
      <c r="I158" s="1681"/>
      <c r="J158" s="1681"/>
      <c r="K158" s="1681"/>
      <c r="L158" s="1681"/>
      <c r="M158" s="1681"/>
      <c r="N158" s="1681"/>
      <c r="O158" s="1681"/>
      <c r="P158" s="1681"/>
      <c r="Q158" s="1681"/>
      <c r="R158" s="1681"/>
      <c r="S158" s="1681"/>
      <c r="T158" s="1681"/>
      <c r="U158" s="1681"/>
      <c r="V158" s="1681"/>
      <c r="W158" s="1681"/>
      <c r="X158" s="1681"/>
      <c r="Y158" s="1681"/>
      <c r="Z158" s="1681"/>
      <c r="AA158" s="1681"/>
      <c r="AB158" s="1681"/>
      <c r="AC158" s="1681"/>
      <c r="AD158" s="1681"/>
      <c r="AE158" s="1681"/>
      <c r="AF158" s="1681"/>
      <c r="AG158" s="1681"/>
      <c r="AH158" s="1681"/>
      <c r="AI158" s="1681"/>
      <c r="AJ158" s="1681"/>
      <c r="AK158" s="1681"/>
      <c r="AL158" s="1681"/>
      <c r="AM158" s="1681"/>
      <c r="AN158" s="1681"/>
      <c r="AO158" s="1682"/>
    </row>
    <row r="159" spans="1:41">
      <c r="B159" s="124" t="s">
        <v>510</v>
      </c>
      <c r="C159" s="1360" t="s">
        <v>880</v>
      </c>
      <c r="D159" s="1360" t="s">
        <v>881</v>
      </c>
      <c r="E159" s="1683" t="s">
        <v>986</v>
      </c>
      <c r="F159" s="1681"/>
      <c r="G159" s="1681"/>
      <c r="H159" s="1681"/>
      <c r="I159" s="1681"/>
      <c r="J159" s="1681"/>
      <c r="K159" s="1681"/>
      <c r="L159" s="1681"/>
      <c r="M159" s="1681"/>
      <c r="N159" s="1681"/>
      <c r="O159" s="1681"/>
      <c r="P159" s="1681"/>
      <c r="Q159" s="1681"/>
      <c r="R159" s="1681"/>
      <c r="S159" s="1681"/>
      <c r="T159" s="1681"/>
      <c r="U159" s="1681"/>
      <c r="V159" s="1681"/>
      <c r="W159" s="1681"/>
      <c r="X159" s="1681"/>
      <c r="Y159" s="1681"/>
      <c r="Z159" s="1681"/>
      <c r="AA159" s="1681"/>
      <c r="AB159" s="1681"/>
      <c r="AC159" s="1681"/>
      <c r="AD159" s="1681"/>
      <c r="AE159" s="1681"/>
      <c r="AF159" s="1681"/>
      <c r="AG159" s="1681"/>
      <c r="AH159" s="1681"/>
      <c r="AI159" s="1681"/>
      <c r="AJ159" s="1681"/>
      <c r="AK159" s="1681"/>
      <c r="AL159" s="1681"/>
      <c r="AM159" s="1681"/>
      <c r="AN159" s="1681"/>
      <c r="AO159" s="1682"/>
    </row>
    <row r="160" spans="1:41">
      <c r="B160" s="124" t="s">
        <v>882</v>
      </c>
      <c r="C160" s="1360" t="s">
        <v>883</v>
      </c>
      <c r="D160" s="1360" t="s">
        <v>884</v>
      </c>
      <c r="E160" s="1683" t="s">
        <v>986</v>
      </c>
      <c r="F160" s="1681"/>
      <c r="G160" s="1681"/>
      <c r="H160" s="1681"/>
      <c r="I160" s="1681"/>
      <c r="J160" s="1681"/>
      <c r="K160" s="1681"/>
      <c r="L160" s="1681"/>
      <c r="M160" s="1681"/>
      <c r="N160" s="1681"/>
      <c r="O160" s="1681"/>
      <c r="P160" s="1681"/>
      <c r="Q160" s="1681"/>
      <c r="R160" s="1681"/>
      <c r="S160" s="1681"/>
      <c r="T160" s="1681"/>
      <c r="U160" s="1681"/>
      <c r="V160" s="1681"/>
      <c r="W160" s="1681"/>
      <c r="X160" s="1681"/>
      <c r="Y160" s="1681"/>
      <c r="Z160" s="1681"/>
      <c r="AA160" s="1681"/>
      <c r="AB160" s="1681"/>
      <c r="AC160" s="1681"/>
      <c r="AD160" s="1681"/>
      <c r="AE160" s="1681"/>
      <c r="AF160" s="1681"/>
      <c r="AG160" s="1681"/>
      <c r="AH160" s="1681"/>
      <c r="AI160" s="1681"/>
      <c r="AJ160" s="1681"/>
      <c r="AK160" s="1681"/>
      <c r="AL160" s="1681"/>
      <c r="AM160" s="1681"/>
      <c r="AN160" s="1681"/>
      <c r="AO160" s="1682"/>
    </row>
    <row r="161" spans="2:41">
      <c r="B161" s="124" t="s">
        <v>885</v>
      </c>
      <c r="C161" s="1360" t="s">
        <v>886</v>
      </c>
      <c r="D161" s="1360">
        <v>200</v>
      </c>
      <c r="E161" s="1680" t="s">
        <v>987</v>
      </c>
      <c r="F161" s="1681"/>
      <c r="G161" s="1681"/>
      <c r="H161" s="1681"/>
      <c r="I161" s="1681"/>
      <c r="J161" s="1681"/>
      <c r="K161" s="1681"/>
      <c r="L161" s="1681"/>
      <c r="M161" s="1681"/>
      <c r="N161" s="1681"/>
      <c r="O161" s="1681"/>
      <c r="P161" s="1681"/>
      <c r="Q161" s="1681"/>
      <c r="R161" s="1681"/>
      <c r="S161" s="1681"/>
      <c r="T161" s="1681"/>
      <c r="U161" s="1681"/>
      <c r="V161" s="1681"/>
      <c r="W161" s="1681"/>
      <c r="X161" s="1681"/>
      <c r="Y161" s="1681"/>
      <c r="Z161" s="1681"/>
      <c r="AA161" s="1681"/>
      <c r="AB161" s="1681"/>
      <c r="AC161" s="1681"/>
      <c r="AD161" s="1681"/>
      <c r="AE161" s="1681"/>
      <c r="AF161" s="1681"/>
      <c r="AG161" s="1681"/>
      <c r="AH161" s="1681"/>
      <c r="AI161" s="1681"/>
      <c r="AJ161" s="1681"/>
      <c r="AK161" s="1681"/>
      <c r="AL161" s="1681"/>
      <c r="AM161" s="1681"/>
      <c r="AN161" s="1681"/>
      <c r="AO161" s="1682"/>
    </row>
    <row r="162" spans="2:41">
      <c r="B162" s="124" t="s">
        <v>910</v>
      </c>
      <c r="C162" s="1360" t="s">
        <v>911</v>
      </c>
      <c r="D162" s="1360">
        <v>2747</v>
      </c>
      <c r="E162" s="1680" t="s">
        <v>988</v>
      </c>
      <c r="F162" s="1681"/>
      <c r="G162" s="1681"/>
      <c r="H162" s="1681"/>
      <c r="I162" s="1681"/>
      <c r="J162" s="1681"/>
      <c r="K162" s="1681"/>
      <c r="L162" s="1681"/>
      <c r="M162" s="1681"/>
      <c r="N162" s="1681"/>
      <c r="O162" s="1681"/>
      <c r="P162" s="1681"/>
      <c r="Q162" s="1681"/>
      <c r="R162" s="1681"/>
      <c r="S162" s="1681"/>
      <c r="T162" s="1681"/>
      <c r="U162" s="1681"/>
      <c r="V162" s="1681"/>
      <c r="W162" s="1681"/>
      <c r="X162" s="1681"/>
      <c r="Y162" s="1681"/>
      <c r="Z162" s="1681"/>
      <c r="AA162" s="1681"/>
      <c r="AB162" s="1681"/>
      <c r="AC162" s="1681"/>
      <c r="AD162" s="1681"/>
      <c r="AE162" s="1681"/>
      <c r="AF162" s="1681"/>
      <c r="AG162" s="1681"/>
      <c r="AH162" s="1681"/>
      <c r="AI162" s="1681"/>
      <c r="AJ162" s="1681"/>
      <c r="AK162" s="1681"/>
      <c r="AL162" s="1681"/>
      <c r="AM162" s="1681"/>
      <c r="AN162" s="1681"/>
      <c r="AO162" s="1682"/>
    </row>
    <row r="163" spans="2:41">
      <c r="B163" s="124" t="s">
        <v>912</v>
      </c>
      <c r="C163" s="1360" t="s">
        <v>989</v>
      </c>
      <c r="D163" s="1360">
        <v>9936518</v>
      </c>
      <c r="E163" s="1680" t="s">
        <v>990</v>
      </c>
      <c r="F163" s="1681"/>
      <c r="G163" s="1681"/>
      <c r="H163" s="1681"/>
      <c r="I163" s="1681"/>
      <c r="J163" s="1681"/>
      <c r="K163" s="1681"/>
      <c r="L163" s="1681"/>
      <c r="M163" s="1681"/>
      <c r="N163" s="1681"/>
      <c r="O163" s="1681"/>
      <c r="P163" s="1681"/>
      <c r="Q163" s="1681"/>
      <c r="R163" s="1681"/>
      <c r="S163" s="1681"/>
      <c r="T163" s="1681"/>
      <c r="U163" s="1681"/>
      <c r="V163" s="1681"/>
      <c r="W163" s="1681"/>
      <c r="X163" s="1681"/>
      <c r="Y163" s="1681"/>
      <c r="Z163" s="1681"/>
      <c r="AA163" s="1681"/>
      <c r="AB163" s="1681"/>
      <c r="AC163" s="1681"/>
      <c r="AD163" s="1681"/>
      <c r="AE163" s="1681"/>
      <c r="AF163" s="1681"/>
      <c r="AG163" s="1681"/>
      <c r="AH163" s="1681"/>
      <c r="AI163" s="1681"/>
      <c r="AJ163" s="1681"/>
      <c r="AK163" s="1681"/>
      <c r="AL163" s="1681"/>
      <c r="AM163" s="1681"/>
      <c r="AN163" s="1681"/>
      <c r="AO163" s="1682"/>
    </row>
    <row r="164" spans="2:41">
      <c r="B164" s="124" t="s">
        <v>914</v>
      </c>
      <c r="C164" s="1360" t="s">
        <v>915</v>
      </c>
      <c r="D164" s="1360" t="s">
        <v>249</v>
      </c>
      <c r="E164" s="1680" t="s">
        <v>991</v>
      </c>
      <c r="F164" s="1681"/>
      <c r="G164" s="1681"/>
      <c r="H164" s="1681"/>
      <c r="I164" s="1681"/>
      <c r="J164" s="1681"/>
      <c r="K164" s="1681"/>
      <c r="L164" s="1681"/>
      <c r="M164" s="1681"/>
      <c r="N164" s="1681"/>
      <c r="O164" s="1681"/>
      <c r="P164" s="1681"/>
      <c r="Q164" s="1681"/>
      <c r="R164" s="1681"/>
      <c r="S164" s="1681"/>
      <c r="T164" s="1681"/>
      <c r="U164" s="1681"/>
      <c r="V164" s="1681"/>
      <c r="W164" s="1681"/>
      <c r="X164" s="1681"/>
      <c r="Y164" s="1681"/>
      <c r="Z164" s="1681"/>
      <c r="AA164" s="1681"/>
      <c r="AB164" s="1681"/>
      <c r="AC164" s="1681"/>
      <c r="AD164" s="1681"/>
      <c r="AE164" s="1681"/>
      <c r="AF164" s="1681"/>
      <c r="AG164" s="1681"/>
      <c r="AH164" s="1681"/>
      <c r="AI164" s="1681"/>
      <c r="AJ164" s="1681"/>
      <c r="AK164" s="1681"/>
      <c r="AL164" s="1681"/>
      <c r="AM164" s="1681"/>
      <c r="AN164" s="1681"/>
      <c r="AO164" s="1682"/>
    </row>
    <row r="165" spans="2:41">
      <c r="B165" s="124" t="s">
        <v>562</v>
      </c>
      <c r="C165" s="1360" t="s">
        <v>941</v>
      </c>
      <c r="D165" s="1360" t="s">
        <v>942</v>
      </c>
      <c r="E165" s="1680" t="s">
        <v>992</v>
      </c>
      <c r="F165" s="1681"/>
      <c r="G165" s="1681"/>
      <c r="H165" s="1681"/>
      <c r="I165" s="1681"/>
      <c r="J165" s="1681"/>
      <c r="K165" s="1681"/>
      <c r="L165" s="1681"/>
      <c r="M165" s="1681"/>
      <c r="N165" s="1681"/>
      <c r="O165" s="1681"/>
      <c r="P165" s="1681"/>
      <c r="Q165" s="1681"/>
      <c r="R165" s="1681"/>
      <c r="S165" s="1681"/>
      <c r="T165" s="1681"/>
      <c r="U165" s="1681"/>
      <c r="V165" s="1681"/>
      <c r="W165" s="1681"/>
      <c r="X165" s="1681"/>
      <c r="Y165" s="1681"/>
      <c r="Z165" s="1681"/>
      <c r="AA165" s="1681"/>
      <c r="AB165" s="1681"/>
      <c r="AC165" s="1681"/>
      <c r="AD165" s="1681"/>
      <c r="AE165" s="1681"/>
      <c r="AF165" s="1681"/>
      <c r="AG165" s="1681"/>
      <c r="AH165" s="1681"/>
      <c r="AI165" s="1681"/>
      <c r="AJ165" s="1681"/>
      <c r="AK165" s="1681"/>
      <c r="AL165" s="1681"/>
      <c r="AM165" s="1681"/>
      <c r="AN165" s="1681"/>
      <c r="AO165" s="1682"/>
    </row>
    <row r="166" spans="2:41">
      <c r="B166" s="124" t="s">
        <v>943</v>
      </c>
      <c r="C166" s="1360" t="s">
        <v>944</v>
      </c>
      <c r="D166" s="1360" t="s">
        <v>945</v>
      </c>
      <c r="E166" s="1680" t="s">
        <v>993</v>
      </c>
      <c r="F166" s="1681"/>
      <c r="G166" s="1681"/>
      <c r="H166" s="1681"/>
      <c r="I166" s="1681"/>
      <c r="J166" s="1681"/>
      <c r="K166" s="1681"/>
      <c r="L166" s="1681"/>
      <c r="M166" s="1681"/>
      <c r="N166" s="1681"/>
      <c r="O166" s="1681"/>
      <c r="P166" s="1681"/>
      <c r="Q166" s="1681"/>
      <c r="R166" s="1681"/>
      <c r="S166" s="1681"/>
      <c r="T166" s="1681"/>
      <c r="U166" s="1681"/>
      <c r="V166" s="1681"/>
      <c r="W166" s="1681"/>
      <c r="X166" s="1681"/>
      <c r="Y166" s="1681"/>
      <c r="Z166" s="1681"/>
      <c r="AA166" s="1681"/>
      <c r="AB166" s="1681"/>
      <c r="AC166" s="1681"/>
      <c r="AD166" s="1681"/>
      <c r="AE166" s="1681"/>
      <c r="AF166" s="1681"/>
      <c r="AG166" s="1681"/>
      <c r="AH166" s="1681"/>
      <c r="AI166" s="1681"/>
      <c r="AJ166" s="1681"/>
      <c r="AK166" s="1681"/>
      <c r="AL166" s="1681"/>
      <c r="AM166" s="1681"/>
      <c r="AN166" s="1681"/>
      <c r="AO166" s="1682"/>
    </row>
    <row r="167" spans="2:41">
      <c r="B167" s="124" t="s">
        <v>946</v>
      </c>
      <c r="C167" s="1360" t="s">
        <v>947</v>
      </c>
      <c r="D167" s="1360" t="s">
        <v>948</v>
      </c>
      <c r="E167" s="1680" t="s">
        <v>994</v>
      </c>
      <c r="F167" s="1681"/>
      <c r="G167" s="1681"/>
      <c r="H167" s="1681"/>
      <c r="I167" s="1681"/>
      <c r="J167" s="1681"/>
      <c r="K167" s="1681"/>
      <c r="L167" s="1681"/>
      <c r="M167" s="1681"/>
      <c r="N167" s="1681"/>
      <c r="O167" s="1681"/>
      <c r="P167" s="1681"/>
      <c r="Q167" s="1681"/>
      <c r="R167" s="1681"/>
      <c r="S167" s="1681"/>
      <c r="T167" s="1681"/>
      <c r="U167" s="1681"/>
      <c r="V167" s="1681"/>
      <c r="W167" s="1681"/>
      <c r="X167" s="1681"/>
      <c r="Y167" s="1681"/>
      <c r="Z167" s="1681"/>
      <c r="AA167" s="1681"/>
      <c r="AB167" s="1681"/>
      <c r="AC167" s="1681"/>
      <c r="AD167" s="1681"/>
      <c r="AE167" s="1681"/>
      <c r="AF167" s="1681"/>
      <c r="AG167" s="1681"/>
      <c r="AH167" s="1681"/>
      <c r="AI167" s="1681"/>
      <c r="AJ167" s="1681"/>
      <c r="AK167" s="1681"/>
      <c r="AL167" s="1681"/>
      <c r="AM167" s="1681"/>
      <c r="AN167" s="1681"/>
      <c r="AO167" s="1682"/>
    </row>
    <row r="168" spans="2:41">
      <c r="B168" s="124" t="s">
        <v>949</v>
      </c>
      <c r="C168" s="1360" t="s">
        <v>950</v>
      </c>
      <c r="D168" s="1360" t="s">
        <v>951</v>
      </c>
      <c r="E168" s="1680" t="s">
        <v>995</v>
      </c>
      <c r="F168" s="1681"/>
      <c r="G168" s="1681"/>
      <c r="H168" s="1681"/>
      <c r="I168" s="1681"/>
      <c r="J168" s="1681"/>
      <c r="K168" s="1681"/>
      <c r="L168" s="1681"/>
      <c r="M168" s="1681"/>
      <c r="N168" s="1681"/>
      <c r="O168" s="1681"/>
      <c r="P168" s="1681"/>
      <c r="Q168" s="1681"/>
      <c r="R168" s="1681"/>
      <c r="S168" s="1681"/>
      <c r="T168" s="1681"/>
      <c r="U168" s="1681"/>
      <c r="V168" s="1681"/>
      <c r="W168" s="1681"/>
      <c r="X168" s="1681"/>
      <c r="Y168" s="1681"/>
      <c r="Z168" s="1681"/>
      <c r="AA168" s="1681"/>
      <c r="AB168" s="1681"/>
      <c r="AC168" s="1681"/>
      <c r="AD168" s="1681"/>
      <c r="AE168" s="1681"/>
      <c r="AF168" s="1681"/>
      <c r="AG168" s="1681"/>
      <c r="AH168" s="1681"/>
      <c r="AI168" s="1681"/>
      <c r="AJ168" s="1681"/>
      <c r="AK168" s="1681"/>
      <c r="AL168" s="1681"/>
      <c r="AM168" s="1681"/>
      <c r="AN168" s="1681"/>
      <c r="AO168" s="1682"/>
    </row>
    <row r="169" spans="2:41">
      <c r="B169" s="124" t="s">
        <v>931</v>
      </c>
      <c r="C169" s="1360" t="s">
        <v>932</v>
      </c>
      <c r="D169" s="1360" t="s">
        <v>933</v>
      </c>
      <c r="E169" s="1680" t="s">
        <v>996</v>
      </c>
      <c r="F169" s="1681"/>
      <c r="G169" s="1681"/>
      <c r="H169" s="1681"/>
      <c r="I169" s="1681"/>
      <c r="J169" s="1681"/>
      <c r="K169" s="1681"/>
      <c r="L169" s="1681"/>
      <c r="M169" s="1681"/>
      <c r="N169" s="1681"/>
      <c r="O169" s="1681"/>
      <c r="P169" s="1681"/>
      <c r="Q169" s="1681"/>
      <c r="R169" s="1681"/>
      <c r="S169" s="1681"/>
      <c r="T169" s="1681"/>
      <c r="U169" s="1681"/>
      <c r="V169" s="1681"/>
      <c r="W169" s="1681"/>
      <c r="X169" s="1681"/>
      <c r="Y169" s="1681"/>
      <c r="Z169" s="1681"/>
      <c r="AA169" s="1681"/>
      <c r="AB169" s="1681"/>
      <c r="AC169" s="1681"/>
      <c r="AD169" s="1681"/>
      <c r="AE169" s="1681"/>
      <c r="AF169" s="1681"/>
      <c r="AG169" s="1681"/>
      <c r="AH169" s="1681"/>
      <c r="AI169" s="1681"/>
      <c r="AJ169" s="1681"/>
      <c r="AK169" s="1681"/>
      <c r="AL169" s="1681"/>
      <c r="AM169" s="1681"/>
      <c r="AN169" s="1681"/>
      <c r="AO169" s="1682"/>
    </row>
    <row r="170" spans="2:41">
      <c r="B170" s="124" t="s">
        <v>887</v>
      </c>
      <c r="C170" s="192" t="s">
        <v>888</v>
      </c>
      <c r="D170" s="192" t="s">
        <v>889</v>
      </c>
      <c r="E170" s="1680" t="s">
        <v>997</v>
      </c>
      <c r="F170" s="1681"/>
      <c r="G170" s="1681"/>
      <c r="H170" s="1681"/>
      <c r="I170" s="1681"/>
      <c r="J170" s="1681"/>
      <c r="K170" s="1681"/>
      <c r="L170" s="1681"/>
      <c r="M170" s="1681"/>
      <c r="N170" s="1681"/>
      <c r="O170" s="1681"/>
      <c r="P170" s="1681"/>
      <c r="Q170" s="1681"/>
      <c r="R170" s="1681"/>
      <c r="S170" s="1681"/>
      <c r="T170" s="1681"/>
      <c r="U170" s="1681"/>
      <c r="V170" s="1681"/>
      <c r="W170" s="1681"/>
      <c r="X170" s="1681"/>
      <c r="Y170" s="1681"/>
      <c r="Z170" s="1681"/>
      <c r="AA170" s="1681"/>
      <c r="AB170" s="1681"/>
      <c r="AC170" s="1681"/>
      <c r="AD170" s="1681"/>
      <c r="AE170" s="1681"/>
      <c r="AF170" s="1681"/>
      <c r="AG170" s="1681"/>
      <c r="AH170" s="1681"/>
      <c r="AI170" s="1681"/>
      <c r="AJ170" s="1681"/>
      <c r="AK170" s="1681"/>
      <c r="AL170" s="1681"/>
      <c r="AM170" s="1681"/>
      <c r="AN170" s="1681"/>
      <c r="AO170" s="1682"/>
    </row>
    <row r="171" spans="2:41">
      <c r="B171" s="124" t="s">
        <v>893</v>
      </c>
      <c r="C171" s="192" t="s">
        <v>894</v>
      </c>
      <c r="D171" s="192" t="s">
        <v>895</v>
      </c>
      <c r="E171" s="1430" t="s">
        <v>998</v>
      </c>
      <c r="F171" s="1695"/>
      <c r="G171" s="1695"/>
      <c r="H171" s="1695"/>
      <c r="I171" s="1695"/>
      <c r="J171" s="1695"/>
      <c r="K171" s="1695"/>
      <c r="L171" s="1695"/>
      <c r="M171" s="1695"/>
      <c r="N171" s="1695"/>
      <c r="O171" s="1695"/>
      <c r="P171" s="1695"/>
      <c r="Q171" s="1695"/>
      <c r="R171" s="1695"/>
      <c r="S171" s="1695"/>
      <c r="T171" s="1695"/>
      <c r="U171" s="1695"/>
      <c r="V171" s="1695"/>
      <c r="W171" s="1695"/>
      <c r="X171" s="1695"/>
      <c r="Y171" s="1695"/>
      <c r="Z171" s="1695"/>
      <c r="AA171" s="1695"/>
      <c r="AB171" s="1695"/>
      <c r="AC171" s="1695"/>
      <c r="AD171" s="1695"/>
      <c r="AE171" s="1695"/>
      <c r="AF171" s="1695"/>
      <c r="AG171" s="1695"/>
      <c r="AH171" s="1695"/>
      <c r="AI171" s="1695"/>
      <c r="AJ171" s="1695"/>
      <c r="AK171" s="1695"/>
      <c r="AL171" s="1695"/>
      <c r="AM171" s="1695"/>
      <c r="AN171" s="1695"/>
      <c r="AO171" s="1696"/>
    </row>
    <row r="172" spans="2:41">
      <c r="B172" s="124" t="s">
        <v>898</v>
      </c>
      <c r="C172" s="192" t="s">
        <v>899</v>
      </c>
      <c r="D172" s="192" t="s">
        <v>900</v>
      </c>
      <c r="E172" s="1430" t="s">
        <v>999</v>
      </c>
      <c r="F172" s="1695"/>
      <c r="G172" s="1695"/>
      <c r="H172" s="1695"/>
      <c r="I172" s="1695"/>
      <c r="J172" s="1695"/>
      <c r="K172" s="1695"/>
      <c r="L172" s="1695"/>
      <c r="M172" s="1695"/>
      <c r="N172" s="1695"/>
      <c r="O172" s="1695"/>
      <c r="P172" s="1695"/>
      <c r="Q172" s="1695"/>
      <c r="R172" s="1695"/>
      <c r="S172" s="1695"/>
      <c r="T172" s="1695"/>
      <c r="U172" s="1695"/>
      <c r="V172" s="1695"/>
      <c r="W172" s="1695"/>
      <c r="X172" s="1695"/>
      <c r="Y172" s="1695"/>
      <c r="Z172" s="1695"/>
      <c r="AA172" s="1695"/>
      <c r="AB172" s="1695"/>
      <c r="AC172" s="1695"/>
      <c r="AD172" s="1695"/>
      <c r="AE172" s="1695"/>
      <c r="AF172" s="1695"/>
      <c r="AG172" s="1695"/>
      <c r="AH172" s="1695"/>
      <c r="AI172" s="1695"/>
      <c r="AJ172" s="1695"/>
      <c r="AK172" s="1695"/>
      <c r="AL172" s="1695"/>
      <c r="AM172" s="1695"/>
      <c r="AN172" s="1695"/>
      <c r="AO172" s="1696"/>
    </row>
    <row r="173" spans="2:41">
      <c r="B173" s="124" t="s">
        <v>896</v>
      </c>
      <c r="C173" s="192" t="s">
        <v>897</v>
      </c>
      <c r="D173" s="192" t="s">
        <v>249</v>
      </c>
      <c r="E173" s="1430" t="s">
        <v>1000</v>
      </c>
      <c r="F173" s="1695"/>
      <c r="G173" s="1695"/>
      <c r="H173" s="1695"/>
      <c r="I173" s="1695"/>
      <c r="J173" s="1695"/>
      <c r="K173" s="1695"/>
      <c r="L173" s="1695"/>
      <c r="M173" s="1695"/>
      <c r="N173" s="1695"/>
      <c r="O173" s="1695"/>
      <c r="P173" s="1695"/>
      <c r="Q173" s="1695"/>
      <c r="R173" s="1695"/>
      <c r="S173" s="1695"/>
      <c r="T173" s="1695"/>
      <c r="U173" s="1695"/>
      <c r="V173" s="1695"/>
      <c r="W173" s="1695"/>
      <c r="X173" s="1695"/>
      <c r="Y173" s="1695"/>
      <c r="Z173" s="1695"/>
      <c r="AA173" s="1695"/>
      <c r="AB173" s="1695"/>
      <c r="AC173" s="1695"/>
      <c r="AD173" s="1695"/>
      <c r="AE173" s="1695"/>
      <c r="AF173" s="1695"/>
      <c r="AG173" s="1695"/>
      <c r="AH173" s="1695"/>
      <c r="AI173" s="1695"/>
      <c r="AJ173" s="1695"/>
      <c r="AK173" s="1695"/>
      <c r="AL173" s="1695"/>
      <c r="AM173" s="1695"/>
      <c r="AN173" s="1695"/>
      <c r="AO173" s="1696"/>
    </row>
    <row r="174" spans="2:41">
      <c r="B174" s="124" t="s">
        <v>901</v>
      </c>
      <c r="C174" s="192" t="s">
        <v>902</v>
      </c>
      <c r="D174" s="192" t="s">
        <v>903</v>
      </c>
      <c r="E174" s="1430" t="s">
        <v>1001</v>
      </c>
      <c r="F174" s="1695"/>
      <c r="G174" s="1695"/>
      <c r="H174" s="1695"/>
      <c r="I174" s="1695"/>
      <c r="J174" s="1695"/>
      <c r="K174" s="1695"/>
      <c r="L174" s="1695"/>
      <c r="M174" s="1695"/>
      <c r="N174" s="1695"/>
      <c r="O174" s="1695"/>
      <c r="P174" s="1695"/>
      <c r="Q174" s="1695"/>
      <c r="R174" s="1695"/>
      <c r="S174" s="1695"/>
      <c r="T174" s="1695"/>
      <c r="U174" s="1695"/>
      <c r="V174" s="1695"/>
      <c r="W174" s="1695"/>
      <c r="X174" s="1695"/>
      <c r="Y174" s="1695"/>
      <c r="Z174" s="1695"/>
      <c r="AA174" s="1695"/>
      <c r="AB174" s="1695"/>
      <c r="AC174" s="1695"/>
      <c r="AD174" s="1695"/>
      <c r="AE174" s="1695"/>
      <c r="AF174" s="1695"/>
      <c r="AG174" s="1695"/>
      <c r="AH174" s="1695"/>
      <c r="AI174" s="1695"/>
      <c r="AJ174" s="1695"/>
      <c r="AK174" s="1695"/>
      <c r="AL174" s="1695"/>
      <c r="AM174" s="1695"/>
      <c r="AN174" s="1695"/>
      <c r="AO174" s="1696"/>
    </row>
    <row r="175" spans="2:41">
      <c r="B175" s="124" t="s">
        <v>904</v>
      </c>
      <c r="C175" s="192" t="s">
        <v>905</v>
      </c>
      <c r="D175" s="192" t="s">
        <v>906</v>
      </c>
      <c r="E175" s="1430" t="s">
        <v>1002</v>
      </c>
      <c r="F175" s="1695"/>
      <c r="G175" s="1695"/>
      <c r="H175" s="1695"/>
      <c r="I175" s="1695"/>
      <c r="J175" s="1695"/>
      <c r="K175" s="1695"/>
      <c r="L175" s="1695"/>
      <c r="M175" s="1695"/>
      <c r="N175" s="1695"/>
      <c r="O175" s="1695"/>
      <c r="P175" s="1695"/>
      <c r="Q175" s="1695"/>
      <c r="R175" s="1695"/>
      <c r="S175" s="1695"/>
      <c r="T175" s="1695"/>
      <c r="U175" s="1695"/>
      <c r="V175" s="1695"/>
      <c r="W175" s="1695"/>
      <c r="X175" s="1695"/>
      <c r="Y175" s="1695"/>
      <c r="Z175" s="1695"/>
      <c r="AA175" s="1695"/>
      <c r="AB175" s="1695"/>
      <c r="AC175" s="1695"/>
      <c r="AD175" s="1695"/>
      <c r="AE175" s="1695"/>
      <c r="AF175" s="1695"/>
      <c r="AG175" s="1695"/>
      <c r="AH175" s="1695"/>
      <c r="AI175" s="1695"/>
      <c r="AJ175" s="1695"/>
      <c r="AK175" s="1695"/>
      <c r="AL175" s="1695"/>
      <c r="AM175" s="1695"/>
      <c r="AN175" s="1695"/>
      <c r="AO175" s="1696"/>
    </row>
    <row r="176" spans="2:41">
      <c r="B176" s="124" t="s">
        <v>909</v>
      </c>
      <c r="C176" s="192" t="s">
        <v>249</v>
      </c>
      <c r="D176" s="192" t="s">
        <v>249</v>
      </c>
      <c r="E176" s="1680" t="s">
        <v>1003</v>
      </c>
      <c r="F176" s="1681"/>
      <c r="G176" s="1681"/>
      <c r="H176" s="1681"/>
      <c r="I176" s="1681"/>
      <c r="J176" s="1681"/>
      <c r="K176" s="1681"/>
      <c r="L176" s="1681"/>
      <c r="M176" s="1681"/>
      <c r="N176" s="1681"/>
      <c r="O176" s="1681"/>
      <c r="P176" s="1681"/>
      <c r="Q176" s="1681"/>
      <c r="R176" s="1681"/>
      <c r="S176" s="1681"/>
      <c r="T176" s="1681"/>
      <c r="U176" s="1681"/>
      <c r="V176" s="1681"/>
      <c r="W176" s="1681"/>
      <c r="X176" s="1681"/>
      <c r="Y176" s="1681"/>
      <c r="Z176" s="1681"/>
      <c r="AA176" s="1681"/>
      <c r="AB176" s="1681"/>
      <c r="AC176" s="1681"/>
      <c r="AD176" s="1681"/>
      <c r="AE176" s="1681"/>
      <c r="AF176" s="1681"/>
      <c r="AG176" s="1681"/>
      <c r="AH176" s="1681"/>
      <c r="AI176" s="1681"/>
      <c r="AJ176" s="1681"/>
      <c r="AK176" s="1681"/>
      <c r="AL176" s="1681"/>
      <c r="AM176" s="1681"/>
      <c r="AN176" s="1681"/>
      <c r="AO176" s="1682"/>
    </row>
    <row r="177" spans="2:41">
      <c r="B177" s="124" t="s">
        <v>556</v>
      </c>
      <c r="C177" s="192" t="s">
        <v>907</v>
      </c>
      <c r="D177" s="192" t="s">
        <v>908</v>
      </c>
      <c r="E177" s="1430" t="s">
        <v>1004</v>
      </c>
      <c r="F177" s="1695"/>
      <c r="G177" s="1695"/>
      <c r="H177" s="1695"/>
      <c r="I177" s="1695"/>
      <c r="J177" s="1695"/>
      <c r="K177" s="1695"/>
      <c r="L177" s="1695"/>
      <c r="M177" s="1695"/>
      <c r="N177" s="1695"/>
      <c r="O177" s="1695"/>
      <c r="P177" s="1695"/>
      <c r="Q177" s="1695"/>
      <c r="R177" s="1695"/>
      <c r="S177" s="1695"/>
      <c r="T177" s="1695"/>
      <c r="U177" s="1695"/>
      <c r="V177" s="1695"/>
      <c r="W177" s="1695"/>
      <c r="X177" s="1695"/>
      <c r="Y177" s="1695"/>
      <c r="Z177" s="1695"/>
      <c r="AA177" s="1695"/>
      <c r="AB177" s="1695"/>
      <c r="AC177" s="1695"/>
      <c r="AD177" s="1695"/>
      <c r="AE177" s="1695"/>
      <c r="AF177" s="1695"/>
      <c r="AG177" s="1695"/>
      <c r="AH177" s="1695"/>
      <c r="AI177" s="1695"/>
      <c r="AJ177" s="1695"/>
      <c r="AK177" s="1695"/>
      <c r="AL177" s="1695"/>
      <c r="AM177" s="1695"/>
      <c r="AN177" s="1695"/>
      <c r="AO177" s="1696"/>
    </row>
    <row r="178" spans="2:41">
      <c r="B178" s="124" t="s">
        <v>954</v>
      </c>
      <c r="C178" s="1360" t="s">
        <v>249</v>
      </c>
      <c r="D178" s="1360" t="s">
        <v>249</v>
      </c>
      <c r="E178" s="1430" t="s">
        <v>1005</v>
      </c>
      <c r="F178" s="1695"/>
      <c r="G178" s="1695"/>
      <c r="H178" s="1695"/>
      <c r="I178" s="1695"/>
      <c r="J178" s="1695"/>
      <c r="K178" s="1695"/>
      <c r="L178" s="1695"/>
      <c r="M178" s="1695"/>
      <c r="N178" s="1695"/>
      <c r="O178" s="1695"/>
      <c r="P178" s="1695"/>
      <c r="Q178" s="1695"/>
      <c r="R178" s="1695"/>
      <c r="S178" s="1695"/>
      <c r="T178" s="1695"/>
      <c r="U178" s="1695"/>
      <c r="V178" s="1695"/>
      <c r="W178" s="1695"/>
      <c r="X178" s="1695"/>
      <c r="Y178" s="1695"/>
      <c r="Z178" s="1695"/>
      <c r="AA178" s="1695"/>
      <c r="AB178" s="1695"/>
      <c r="AC178" s="1695"/>
      <c r="AD178" s="1695"/>
      <c r="AE178" s="1695"/>
      <c r="AF178" s="1695"/>
      <c r="AG178" s="1695"/>
      <c r="AH178" s="1695"/>
      <c r="AI178" s="1695"/>
      <c r="AJ178" s="1695"/>
      <c r="AK178" s="1695"/>
      <c r="AL178" s="1695"/>
      <c r="AM178" s="1695"/>
      <c r="AN178" s="1695"/>
      <c r="AO178" s="1696"/>
    </row>
    <row r="179" spans="2:41">
      <c r="B179" s="124" t="s">
        <v>924</v>
      </c>
      <c r="C179" s="1360" t="s">
        <v>925</v>
      </c>
      <c r="D179" s="1360" t="s">
        <v>249</v>
      </c>
      <c r="E179" s="1430" t="s">
        <v>1006</v>
      </c>
      <c r="F179" s="1695"/>
      <c r="G179" s="1695"/>
      <c r="H179" s="1695"/>
      <c r="I179" s="1695"/>
      <c r="J179" s="1695"/>
      <c r="K179" s="1695"/>
      <c r="L179" s="1695"/>
      <c r="M179" s="1695"/>
      <c r="N179" s="1695"/>
      <c r="O179" s="1695"/>
      <c r="P179" s="1695"/>
      <c r="Q179" s="1695"/>
      <c r="R179" s="1695"/>
      <c r="S179" s="1695"/>
      <c r="T179" s="1695"/>
      <c r="U179" s="1695"/>
      <c r="V179" s="1695"/>
      <c r="W179" s="1695"/>
      <c r="X179" s="1695"/>
      <c r="Y179" s="1695"/>
      <c r="Z179" s="1695"/>
      <c r="AA179" s="1695"/>
      <c r="AB179" s="1695"/>
      <c r="AC179" s="1695"/>
      <c r="AD179" s="1695"/>
      <c r="AE179" s="1695"/>
      <c r="AF179" s="1695"/>
      <c r="AG179" s="1695"/>
      <c r="AH179" s="1695"/>
      <c r="AI179" s="1695"/>
      <c r="AJ179" s="1695"/>
      <c r="AK179" s="1695"/>
      <c r="AL179" s="1695"/>
      <c r="AM179" s="1695"/>
      <c r="AN179" s="1695"/>
      <c r="AO179" s="1696"/>
    </row>
    <row r="180" spans="2:41">
      <c r="B180" s="124" t="s">
        <v>890</v>
      </c>
      <c r="C180" s="192" t="s">
        <v>891</v>
      </c>
      <c r="D180" s="192" t="s">
        <v>892</v>
      </c>
      <c r="E180" s="1430" t="s">
        <v>1007</v>
      </c>
      <c r="F180" s="1695"/>
      <c r="G180" s="1695"/>
      <c r="H180" s="1695"/>
      <c r="I180" s="1695"/>
      <c r="J180" s="1695"/>
      <c r="K180" s="1695"/>
      <c r="L180" s="1695"/>
      <c r="M180" s="1695"/>
      <c r="N180" s="1695"/>
      <c r="O180" s="1695"/>
      <c r="P180" s="1695"/>
      <c r="Q180" s="1695"/>
      <c r="R180" s="1695"/>
      <c r="S180" s="1695"/>
      <c r="T180" s="1695"/>
      <c r="U180" s="1695"/>
      <c r="V180" s="1695"/>
      <c r="W180" s="1695"/>
      <c r="X180" s="1695"/>
      <c r="Y180" s="1695"/>
      <c r="Z180" s="1695"/>
      <c r="AA180" s="1695"/>
      <c r="AB180" s="1695"/>
      <c r="AC180" s="1695"/>
      <c r="AD180" s="1695"/>
      <c r="AE180" s="1695"/>
      <c r="AF180" s="1695"/>
      <c r="AG180" s="1695"/>
      <c r="AH180" s="1695"/>
      <c r="AI180" s="1695"/>
      <c r="AJ180" s="1695"/>
      <c r="AK180" s="1695"/>
      <c r="AL180" s="1695"/>
      <c r="AM180" s="1695"/>
      <c r="AN180" s="1695"/>
      <c r="AO180" s="1696"/>
    </row>
    <row r="181" spans="2:41">
      <c r="B181" s="124" t="s">
        <v>919</v>
      </c>
      <c r="C181" s="1360" t="s">
        <v>249</v>
      </c>
      <c r="D181" s="1360" t="s">
        <v>249</v>
      </c>
      <c r="E181" s="1430" t="s">
        <v>1008</v>
      </c>
      <c r="F181" s="1695"/>
      <c r="G181" s="1695"/>
      <c r="H181" s="1695"/>
      <c r="I181" s="1695"/>
      <c r="J181" s="1695"/>
      <c r="K181" s="1695"/>
      <c r="L181" s="1695"/>
      <c r="M181" s="1695"/>
      <c r="N181" s="1695"/>
      <c r="O181" s="1695"/>
      <c r="P181" s="1695"/>
      <c r="Q181" s="1695"/>
      <c r="R181" s="1695"/>
      <c r="S181" s="1695"/>
      <c r="T181" s="1695"/>
      <c r="U181" s="1695"/>
      <c r="V181" s="1695"/>
      <c r="W181" s="1695"/>
      <c r="X181" s="1695"/>
      <c r="Y181" s="1695"/>
      <c r="Z181" s="1695"/>
      <c r="AA181" s="1695"/>
      <c r="AB181" s="1695"/>
      <c r="AC181" s="1695"/>
      <c r="AD181" s="1695"/>
      <c r="AE181" s="1695"/>
      <c r="AF181" s="1695"/>
      <c r="AG181" s="1695"/>
      <c r="AH181" s="1695"/>
      <c r="AI181" s="1695"/>
      <c r="AJ181" s="1695"/>
      <c r="AK181" s="1695"/>
      <c r="AL181" s="1695"/>
      <c r="AM181" s="1695"/>
      <c r="AN181" s="1695"/>
      <c r="AO181" s="1696"/>
    </row>
    <row r="182" spans="2:41">
      <c r="B182" s="124" t="s">
        <v>920</v>
      </c>
      <c r="C182" s="1360" t="s">
        <v>249</v>
      </c>
      <c r="D182" s="1360" t="s">
        <v>249</v>
      </c>
      <c r="E182" s="1430" t="s">
        <v>1009</v>
      </c>
      <c r="F182" s="1695"/>
      <c r="G182" s="1695"/>
      <c r="H182" s="1695"/>
      <c r="I182" s="1695"/>
      <c r="J182" s="1695"/>
      <c r="K182" s="1695"/>
      <c r="L182" s="1695"/>
      <c r="M182" s="1695"/>
      <c r="N182" s="1695"/>
      <c r="O182" s="1695"/>
      <c r="P182" s="1695"/>
      <c r="Q182" s="1695"/>
      <c r="R182" s="1695"/>
      <c r="S182" s="1695"/>
      <c r="T182" s="1695"/>
      <c r="U182" s="1695"/>
      <c r="V182" s="1695"/>
      <c r="W182" s="1695"/>
      <c r="X182" s="1695"/>
      <c r="Y182" s="1695"/>
      <c r="Z182" s="1695"/>
      <c r="AA182" s="1695"/>
      <c r="AB182" s="1695"/>
      <c r="AC182" s="1695"/>
      <c r="AD182" s="1695"/>
      <c r="AE182" s="1695"/>
      <c r="AF182" s="1695"/>
      <c r="AG182" s="1695"/>
      <c r="AH182" s="1695"/>
      <c r="AI182" s="1695"/>
      <c r="AJ182" s="1695"/>
      <c r="AK182" s="1695"/>
      <c r="AL182" s="1695"/>
      <c r="AM182" s="1695"/>
      <c r="AN182" s="1695"/>
      <c r="AO182" s="1696"/>
    </row>
    <row r="183" spans="2:41">
      <c r="B183" s="124" t="s">
        <v>921</v>
      </c>
      <c r="C183" s="1360" t="s">
        <v>249</v>
      </c>
      <c r="D183" s="1360" t="s">
        <v>249</v>
      </c>
      <c r="E183" s="1430" t="s">
        <v>1010</v>
      </c>
      <c r="F183" s="1695"/>
      <c r="G183" s="1695"/>
      <c r="H183" s="1695"/>
      <c r="I183" s="1695"/>
      <c r="J183" s="1695"/>
      <c r="K183" s="1695"/>
      <c r="L183" s="1695"/>
      <c r="M183" s="1695"/>
      <c r="N183" s="1695"/>
      <c r="O183" s="1695"/>
      <c r="P183" s="1695"/>
      <c r="Q183" s="1695"/>
      <c r="R183" s="1695"/>
      <c r="S183" s="1695"/>
      <c r="T183" s="1695"/>
      <c r="U183" s="1695"/>
      <c r="V183" s="1695"/>
      <c r="W183" s="1695"/>
      <c r="X183" s="1695"/>
      <c r="Y183" s="1695"/>
      <c r="Z183" s="1695"/>
      <c r="AA183" s="1695"/>
      <c r="AB183" s="1695"/>
      <c r="AC183" s="1695"/>
      <c r="AD183" s="1695"/>
      <c r="AE183" s="1695"/>
      <c r="AF183" s="1695"/>
      <c r="AG183" s="1695"/>
      <c r="AH183" s="1695"/>
      <c r="AI183" s="1695"/>
      <c r="AJ183" s="1695"/>
      <c r="AK183" s="1695"/>
      <c r="AL183" s="1695"/>
      <c r="AM183" s="1695"/>
      <c r="AN183" s="1695"/>
      <c r="AO183" s="1696"/>
    </row>
    <row r="184" spans="2:41">
      <c r="B184" s="124" t="s">
        <v>287</v>
      </c>
      <c r="C184" s="1360" t="s">
        <v>952</v>
      </c>
      <c r="D184" s="1360" t="s">
        <v>953</v>
      </c>
      <c r="E184" s="1430" t="s">
        <v>1011</v>
      </c>
      <c r="F184" s="1695"/>
      <c r="G184" s="1695"/>
      <c r="H184" s="1695"/>
      <c r="I184" s="1695"/>
      <c r="J184" s="1695"/>
      <c r="K184" s="1695"/>
      <c r="L184" s="1695"/>
      <c r="M184" s="1695"/>
      <c r="N184" s="1695"/>
      <c r="O184" s="1695"/>
      <c r="P184" s="1695"/>
      <c r="Q184" s="1695"/>
      <c r="R184" s="1695"/>
      <c r="S184" s="1695"/>
      <c r="T184" s="1695"/>
      <c r="U184" s="1695"/>
      <c r="V184" s="1695"/>
      <c r="W184" s="1695"/>
      <c r="X184" s="1695"/>
      <c r="Y184" s="1695"/>
      <c r="Z184" s="1695"/>
      <c r="AA184" s="1695"/>
      <c r="AB184" s="1695"/>
      <c r="AC184" s="1695"/>
      <c r="AD184" s="1695"/>
      <c r="AE184" s="1695"/>
      <c r="AF184" s="1695"/>
      <c r="AG184" s="1695"/>
      <c r="AH184" s="1695"/>
      <c r="AI184" s="1695"/>
      <c r="AJ184" s="1695"/>
      <c r="AK184" s="1695"/>
      <c r="AL184" s="1695"/>
      <c r="AM184" s="1695"/>
      <c r="AN184" s="1695"/>
      <c r="AO184" s="1696"/>
    </row>
    <row r="185" spans="2:41">
      <c r="B185" s="124" t="s">
        <v>934</v>
      </c>
      <c r="C185" s="1360" t="s">
        <v>935</v>
      </c>
      <c r="D185" s="1360" t="s">
        <v>936</v>
      </c>
      <c r="E185" s="1430" t="s">
        <v>1012</v>
      </c>
      <c r="F185" s="1695"/>
      <c r="G185" s="1695"/>
      <c r="H185" s="1695"/>
      <c r="I185" s="1695"/>
      <c r="J185" s="1695"/>
      <c r="K185" s="1695"/>
      <c r="L185" s="1695"/>
      <c r="M185" s="1695"/>
      <c r="N185" s="1695"/>
      <c r="O185" s="1695"/>
      <c r="P185" s="1695"/>
      <c r="Q185" s="1695"/>
      <c r="R185" s="1695"/>
      <c r="S185" s="1695"/>
      <c r="T185" s="1695"/>
      <c r="U185" s="1695"/>
      <c r="V185" s="1695"/>
      <c r="W185" s="1695"/>
      <c r="X185" s="1695"/>
      <c r="Y185" s="1695"/>
      <c r="Z185" s="1695"/>
      <c r="AA185" s="1695"/>
      <c r="AB185" s="1695"/>
      <c r="AC185" s="1695"/>
      <c r="AD185" s="1695"/>
      <c r="AE185" s="1695"/>
      <c r="AF185" s="1695"/>
      <c r="AG185" s="1695"/>
      <c r="AH185" s="1695"/>
      <c r="AI185" s="1695"/>
      <c r="AJ185" s="1695"/>
      <c r="AK185" s="1695"/>
      <c r="AL185" s="1695"/>
      <c r="AM185" s="1695"/>
      <c r="AN185" s="1695"/>
      <c r="AO185" s="1696"/>
    </row>
    <row r="186" spans="2:41">
      <c r="B186" s="124" t="s">
        <v>937</v>
      </c>
      <c r="C186" s="1360" t="s">
        <v>938</v>
      </c>
      <c r="D186" s="1360" t="s">
        <v>249</v>
      </c>
      <c r="E186" s="1430" t="s">
        <v>1013</v>
      </c>
      <c r="F186" s="1695"/>
      <c r="G186" s="1695"/>
      <c r="H186" s="1695"/>
      <c r="I186" s="1695"/>
      <c r="J186" s="1695"/>
      <c r="K186" s="1695"/>
      <c r="L186" s="1695"/>
      <c r="M186" s="1695"/>
      <c r="N186" s="1695"/>
      <c r="O186" s="1695"/>
      <c r="P186" s="1695"/>
      <c r="Q186" s="1695"/>
      <c r="R186" s="1695"/>
      <c r="S186" s="1695"/>
      <c r="T186" s="1695"/>
      <c r="U186" s="1695"/>
      <c r="V186" s="1695"/>
      <c r="W186" s="1695"/>
      <c r="X186" s="1695"/>
      <c r="Y186" s="1695"/>
      <c r="Z186" s="1695"/>
      <c r="AA186" s="1695"/>
      <c r="AB186" s="1695"/>
      <c r="AC186" s="1695"/>
      <c r="AD186" s="1695"/>
      <c r="AE186" s="1695"/>
      <c r="AF186" s="1695"/>
      <c r="AG186" s="1695"/>
      <c r="AH186" s="1695"/>
      <c r="AI186" s="1695"/>
      <c r="AJ186" s="1695"/>
      <c r="AK186" s="1695"/>
      <c r="AL186" s="1695"/>
      <c r="AM186" s="1695"/>
      <c r="AN186" s="1695"/>
      <c r="AO186" s="1696"/>
    </row>
    <row r="187" spans="2:41">
      <c r="B187" s="124" t="s">
        <v>918</v>
      </c>
      <c r="C187" s="192" t="s">
        <v>249</v>
      </c>
      <c r="D187" s="192" t="s">
        <v>249</v>
      </c>
      <c r="E187" s="1430" t="s">
        <v>1014</v>
      </c>
      <c r="F187" s="1695"/>
      <c r="G187" s="1695"/>
      <c r="H187" s="1695"/>
      <c r="I187" s="1695"/>
      <c r="J187" s="1695"/>
      <c r="K187" s="1695"/>
      <c r="L187" s="1695"/>
      <c r="M187" s="1695"/>
      <c r="N187" s="1695"/>
      <c r="O187" s="1695"/>
      <c r="P187" s="1695"/>
      <c r="Q187" s="1695"/>
      <c r="R187" s="1695"/>
      <c r="S187" s="1695"/>
      <c r="T187" s="1695"/>
      <c r="U187" s="1695"/>
      <c r="V187" s="1695"/>
      <c r="W187" s="1695"/>
      <c r="X187" s="1695"/>
      <c r="Y187" s="1695"/>
      <c r="Z187" s="1695"/>
      <c r="AA187" s="1695"/>
      <c r="AB187" s="1695"/>
      <c r="AC187" s="1695"/>
      <c r="AD187" s="1695"/>
      <c r="AE187" s="1695"/>
      <c r="AF187" s="1695"/>
      <c r="AG187" s="1695"/>
      <c r="AH187" s="1695"/>
      <c r="AI187" s="1695"/>
      <c r="AJ187" s="1695"/>
      <c r="AK187" s="1695"/>
      <c r="AL187" s="1695"/>
      <c r="AM187" s="1695"/>
      <c r="AN187" s="1695"/>
      <c r="AO187" s="1696"/>
    </row>
    <row r="188" spans="2:41">
      <c r="B188" s="124" t="s">
        <v>924</v>
      </c>
      <c r="C188" s="1360" t="s">
        <v>925</v>
      </c>
      <c r="D188" s="1360" t="s">
        <v>249</v>
      </c>
      <c r="E188" s="1430" t="s">
        <v>1015</v>
      </c>
      <c r="F188" s="1695"/>
      <c r="G188" s="1695"/>
      <c r="H188" s="1695"/>
      <c r="I188" s="1695"/>
      <c r="J188" s="1695"/>
      <c r="K188" s="1695"/>
      <c r="L188" s="1695"/>
      <c r="M188" s="1695"/>
      <c r="N188" s="1695"/>
      <c r="O188" s="1695"/>
      <c r="P188" s="1695"/>
      <c r="Q188" s="1695"/>
      <c r="R188" s="1695"/>
      <c r="S188" s="1695"/>
      <c r="T188" s="1695"/>
      <c r="U188" s="1695"/>
      <c r="V188" s="1695"/>
      <c r="W188" s="1695"/>
      <c r="X188" s="1695"/>
      <c r="Y188" s="1695"/>
      <c r="Z188" s="1695"/>
      <c r="AA188" s="1695"/>
      <c r="AB188" s="1695"/>
      <c r="AC188" s="1695"/>
      <c r="AD188" s="1695"/>
      <c r="AE188" s="1695"/>
      <c r="AF188" s="1695"/>
      <c r="AG188" s="1695"/>
      <c r="AH188" s="1695"/>
      <c r="AI188" s="1695"/>
      <c r="AJ188" s="1695"/>
      <c r="AK188" s="1695"/>
      <c r="AL188" s="1695"/>
      <c r="AM188" s="1695"/>
      <c r="AN188" s="1695"/>
      <c r="AO188" s="1696"/>
    </row>
    <row r="189" spans="2:41">
      <c r="B189" s="1368" t="s">
        <v>929</v>
      </c>
      <c r="C189" s="1360" t="s">
        <v>927</v>
      </c>
      <c r="D189" s="1360" t="s">
        <v>930</v>
      </c>
      <c r="E189" s="1430" t="s">
        <v>1016</v>
      </c>
      <c r="F189" s="1695"/>
      <c r="G189" s="1695"/>
      <c r="H189" s="1695"/>
      <c r="I189" s="1695"/>
      <c r="J189" s="1695"/>
      <c r="K189" s="1695"/>
      <c r="L189" s="1695"/>
      <c r="M189" s="1695"/>
      <c r="N189" s="1695"/>
      <c r="O189" s="1695"/>
      <c r="P189" s="1695"/>
      <c r="Q189" s="1695"/>
      <c r="R189" s="1695"/>
      <c r="S189" s="1695"/>
      <c r="T189" s="1695"/>
      <c r="U189" s="1695"/>
      <c r="V189" s="1695"/>
      <c r="W189" s="1695"/>
      <c r="X189" s="1695"/>
      <c r="Y189" s="1695"/>
      <c r="Z189" s="1695"/>
      <c r="AA189" s="1695"/>
      <c r="AB189" s="1695"/>
      <c r="AC189" s="1695"/>
      <c r="AD189" s="1695"/>
      <c r="AE189" s="1695"/>
      <c r="AF189" s="1695"/>
      <c r="AG189" s="1695"/>
      <c r="AH189" s="1695"/>
      <c r="AI189" s="1695"/>
      <c r="AJ189" s="1695"/>
      <c r="AK189" s="1695"/>
      <c r="AL189" s="1695"/>
      <c r="AM189" s="1695"/>
      <c r="AN189" s="1695"/>
      <c r="AO189" s="1695"/>
    </row>
    <row r="190" spans="2:41">
      <c r="B190" s="55" t="s">
        <v>926</v>
      </c>
      <c r="C190" s="1360" t="s">
        <v>927</v>
      </c>
      <c r="D190" s="1360" t="s">
        <v>928</v>
      </c>
      <c r="E190" s="1430" t="s">
        <v>1017</v>
      </c>
      <c r="F190" s="1695"/>
      <c r="G190" s="1695"/>
      <c r="H190" s="1695"/>
      <c r="I190" s="1695"/>
      <c r="J190" s="1695"/>
      <c r="K190" s="1695"/>
      <c r="L190" s="1695"/>
      <c r="M190" s="1695"/>
      <c r="N190" s="1695"/>
      <c r="O190" s="1695"/>
      <c r="P190" s="1695"/>
      <c r="Q190" s="1695"/>
      <c r="R190" s="1695"/>
      <c r="S190" s="1695"/>
      <c r="T190" s="1695"/>
      <c r="U190" s="1695"/>
      <c r="V190" s="1695"/>
      <c r="W190" s="1695"/>
      <c r="X190" s="1695"/>
      <c r="Y190" s="1695"/>
      <c r="Z190" s="1695"/>
      <c r="AA190" s="1695"/>
      <c r="AB190" s="1695"/>
      <c r="AC190" s="1695"/>
      <c r="AD190" s="1695"/>
      <c r="AE190" s="1695"/>
      <c r="AF190" s="1695"/>
      <c r="AG190" s="1695"/>
      <c r="AH190" s="1695"/>
      <c r="AI190" s="1695"/>
      <c r="AJ190" s="1695"/>
      <c r="AK190" s="1695"/>
      <c r="AL190" s="1695"/>
      <c r="AM190" s="1695"/>
      <c r="AN190" s="1695"/>
      <c r="AO190" s="1695"/>
    </row>
    <row r="191" spans="2:41">
      <c r="B191" s="1368" t="s">
        <v>917</v>
      </c>
      <c r="C191" s="55"/>
      <c r="D191" s="55"/>
      <c r="E191" s="55" t="s">
        <v>1018</v>
      </c>
      <c r="F191" s="55"/>
      <c r="G191" s="55"/>
      <c r="H191" s="55"/>
      <c r="I191" s="55"/>
      <c r="J191" s="55"/>
      <c r="K191" s="55"/>
      <c r="L191" s="55"/>
      <c r="M191" s="55"/>
      <c r="N191" s="55"/>
      <c r="O191" s="55"/>
      <c r="P191" s="55"/>
      <c r="Q191" s="55"/>
      <c r="R191" s="55"/>
      <c r="S191" s="55"/>
      <c r="T191" s="55"/>
      <c r="U191" s="55"/>
      <c r="V191" s="55"/>
      <c r="W191" s="55"/>
      <c r="X191" s="55"/>
      <c r="Y191" s="55"/>
      <c r="Z191" s="55"/>
      <c r="AA191" s="55"/>
      <c r="AB191" s="55"/>
      <c r="AC191" s="55"/>
      <c r="AD191" s="55"/>
      <c r="AE191" s="55"/>
      <c r="AF191" s="55"/>
      <c r="AG191" s="55"/>
      <c r="AH191" s="55"/>
      <c r="AI191" s="55"/>
      <c r="AJ191" s="55"/>
      <c r="AK191" s="55"/>
      <c r="AL191" s="55"/>
      <c r="AM191" s="55"/>
      <c r="AN191" s="55"/>
      <c r="AO191" s="55"/>
    </row>
    <row r="192" spans="2:41">
      <c r="B192" s="1368" t="s">
        <v>1019</v>
      </c>
      <c r="C192" s="1360" t="s">
        <v>249</v>
      </c>
      <c r="D192" s="55" t="s">
        <v>249</v>
      </c>
      <c r="E192" s="55" t="s">
        <v>1020</v>
      </c>
      <c r="F192" s="55"/>
      <c r="G192" s="55"/>
      <c r="H192" s="55"/>
      <c r="I192" s="55"/>
      <c r="J192" s="55"/>
      <c r="K192" s="55"/>
      <c r="L192" s="55"/>
      <c r="M192" s="55"/>
      <c r="N192" s="55"/>
      <c r="O192" s="55"/>
      <c r="P192" s="55"/>
      <c r="Q192" s="55"/>
      <c r="R192" s="55"/>
      <c r="S192" s="55"/>
      <c r="T192" s="55"/>
      <c r="U192" s="55"/>
      <c r="V192" s="55"/>
      <c r="W192" s="55"/>
      <c r="X192" s="55"/>
      <c r="Y192" s="55"/>
      <c r="Z192" s="55"/>
      <c r="AA192" s="55"/>
      <c r="AB192" s="55"/>
      <c r="AC192" s="55"/>
      <c r="AD192" s="55"/>
      <c r="AE192" s="55"/>
      <c r="AF192" s="55"/>
      <c r="AG192" s="55"/>
      <c r="AH192" s="55"/>
      <c r="AI192" s="55"/>
      <c r="AJ192" s="55"/>
      <c r="AK192" s="55"/>
      <c r="AL192" s="55"/>
      <c r="AM192" s="55"/>
      <c r="AN192" s="55"/>
      <c r="AO192" s="55"/>
    </row>
  </sheetData>
  <mergeCells count="62">
    <mergeCell ref="B4:J4"/>
    <mergeCell ref="B90:G90"/>
    <mergeCell ref="E99:F99"/>
    <mergeCell ref="B91:F91"/>
    <mergeCell ref="B92:F92"/>
    <mergeCell ref="B95:F95"/>
    <mergeCell ref="B44:G44"/>
    <mergeCell ref="B67:G67"/>
    <mergeCell ref="B45:G45"/>
    <mergeCell ref="B68:G68"/>
    <mergeCell ref="B93:F93"/>
    <mergeCell ref="B94:F94"/>
    <mergeCell ref="B96:F96"/>
    <mergeCell ref="B97:F97"/>
    <mergeCell ref="B98:F98"/>
    <mergeCell ref="E88:F88"/>
    <mergeCell ref="E178:AO178"/>
    <mergeCell ref="E179:AO179"/>
    <mergeCell ref="E174:AO174"/>
    <mergeCell ref="E190:AO190"/>
    <mergeCell ref="E186:AO186"/>
    <mergeCell ref="E185:AO185"/>
    <mergeCell ref="E187:AO187"/>
    <mergeCell ref="E188:AO188"/>
    <mergeCell ref="E189:AO189"/>
    <mergeCell ref="E180:AO180"/>
    <mergeCell ref="E181:AO181"/>
    <mergeCell ref="E182:AO182"/>
    <mergeCell ref="E183:AO183"/>
    <mergeCell ref="E184:AO184"/>
    <mergeCell ref="E175:AO175"/>
    <mergeCell ref="E171:AO171"/>
    <mergeCell ref="E172:AO172"/>
    <mergeCell ref="E173:AO173"/>
    <mergeCell ref="E176:AO176"/>
    <mergeCell ref="E177:AO177"/>
    <mergeCell ref="B130:G130"/>
    <mergeCell ref="E142:F142"/>
    <mergeCell ref="B105:G105"/>
    <mergeCell ref="B127:G127"/>
    <mergeCell ref="E170:AO170"/>
    <mergeCell ref="E169:AO169"/>
    <mergeCell ref="E168:AO168"/>
    <mergeCell ref="E167:AO167"/>
    <mergeCell ref="E166:AO166"/>
    <mergeCell ref="E165:AO165"/>
    <mergeCell ref="E66:F66"/>
    <mergeCell ref="E100:F100"/>
    <mergeCell ref="E156:AO156"/>
    <mergeCell ref="E164:AO164"/>
    <mergeCell ref="E163:AO163"/>
    <mergeCell ref="E162:AO162"/>
    <mergeCell ref="E161:AO161"/>
    <mergeCell ref="E160:AO160"/>
    <mergeCell ref="E159:AO159"/>
    <mergeCell ref="E158:AO158"/>
    <mergeCell ref="E157:AO157"/>
    <mergeCell ref="E125:F125"/>
    <mergeCell ref="B102:G102"/>
    <mergeCell ref="B103:G103"/>
    <mergeCell ref="B145:C145"/>
    <mergeCell ref="B128:G128"/>
  </mergeCells>
  <hyperlinks>
    <hyperlink ref="E158" r:id="rId1" location="position=1&amp;search_layout=stack&amp;type=item&amp;tracking_id=2c534891-4044-4f8c-9a8d-9390c9afeae3" xr:uid="{00000000-0004-0000-1700-000000000000}"/>
    <hyperlink ref="C2" location="Indice!A1" display="INDICE" xr:uid="{00000000-0004-0000-1700-000001000000}"/>
    <hyperlink ref="E161" r:id="rId2" location="position=3&amp;search_layout=stack&amp;type=item&amp;tracking_id=0de4eb4d-3510-4395-86a5-331682f51f9f" xr:uid="{00000000-0004-0000-1700-000002000000}"/>
    <hyperlink ref="E162" r:id="rId3" location="position=3&amp;search_layout=stack&amp;type=item&amp;tracking_id=3d82cf5e-a897-4dcb-9d20-4d26923c4a4e" xr:uid="{00000000-0004-0000-1700-000003000000}"/>
    <hyperlink ref="E163" r:id="rId4" location="polycard_client=search-nordic&amp;searchVariation=MLA23787981&amp;position=1&amp;search_layout=grid&amp;type=product&amp;tracking_id=4e177c0a-10b9-478b-a4b2-9d074e3f2e8f&amp;wid=MLA1814222090&amp;sid=search" display="https://www.mercadolibre.com.ar/calibre-digital-de-medicion-crossmaster-9936518-fibra-de-carbono/p/MLA23787981#polycard_client=search-nordic&amp;searchVariation=MLA23787981&amp;position=1&amp;search_layout=grid&amp;type=product&amp;tracking_id=4e177c0a-10b9-478b-a4b2-9d074e3f2e8f&amp;wid=MLA1814222090&amp;sid=search" xr:uid="{00000000-0004-0000-1700-000004000000}"/>
    <hyperlink ref="E165" r:id="rId5" location="searchVariation=MLA19710493&amp;position=1&amp;search_layout=stack&amp;type=product&amp;tracking_id=6296c886-72b8-4a3a-b9c1-6bb965d5496b" xr:uid="{00000000-0004-0000-1700-000005000000}"/>
    <hyperlink ref="E166" r:id="rId6" location="searchVariation=MLA19465098&amp;position=1&amp;search_layout=stack&amp;type=product&amp;tracking_id=4a3385db-b475-4e36-b8e9-40e411d4bc14" display="https://www.mercadolibre.com.ar/smart-tv-philips-6900-series-43pfd691777-led-android-10-full-hd-43-110v240v/p/MLA19465098?pdp_filters=category:MLA1002#searchVariation=MLA19465098&amp;position=1&amp;search_layout=stack&amp;type=product&amp;tracking_id=4a3385db-b475-4e36-b8e9-40e411d4bc14" xr:uid="{00000000-0004-0000-1700-000006000000}"/>
    <hyperlink ref="E167" r:id="rId7" location="D[A:Horno%20Electrico%20Goldstar%20%C2%A0Gldh85]" xr:uid="{00000000-0004-0000-1700-000007000000}"/>
    <hyperlink ref="E168" r:id="rId8" location="polycard_client=search-nordic&amp;position=3&amp;search_layout=grid&amp;type=item&amp;tracking_id=6d75354e-22a6-4f0b-86e1-87ad1bed8b62" xr:uid="{00000000-0004-0000-1700-000008000000}"/>
    <hyperlink ref="E169" r:id="rId9" location="polycard_client=search-nordic&amp;searchVariation=181839453400&amp;position=16&amp;search_layout=stack&amp;type=item&amp;tracking_id=1ce436d6-911f-4948-accb-09588c8a02db" display="https://articulo.mercadolibre.com.ar/MLA-1928209506-notebook-lenovo-core-i3-1215u-8gb-ram-256gb-ssd-touch-win-11-_JM?searchVariation=181839453400#polycard_client=search-nordic&amp;searchVariation=181839453400&amp;position=16&amp;search_layout=stack&amp;type=item&amp;tracking_id=1ce436d6-911f-4948-accb-09588c8a02db" xr:uid="{00000000-0004-0000-1700-000009000000}"/>
    <hyperlink ref="E170" r:id="rId10" location="position=29&amp;search_layout=stack&amp;type=item&amp;tracking_id=17d68318-c6bc-4833-a8fd-8e693a7cb6ff" xr:uid="{00000000-0004-0000-1700-00000A000000}"/>
    <hyperlink ref="E171" r:id="rId11" location="is_advertising=true&amp;position=2&amp;search_layout=stack&amp;type=pad&amp;tracking_id=6e5d5356-e862-40a2-809d-f6f23d5300a9&amp;is_advertising=true&amp;ad_domain=VQCATCORE_LST&amp;ad_position=2&amp;ad_click_id=ZTRmMzYwNzctYzI2YS00ZmU1LTk4ZTktYjMwNzVhMzYyNDNm" display="https://articulo.mercadolibre.com.ar/MLA-1128156707-juego-kit-set-destornillador-precision-denver-145-piezas-cel-_JM#is_advertising=true&amp;position=2&amp;search_layout=stack&amp;type=pad&amp;tracking_id=6e5d5356-e862-40a2-809d-f6f23d5300a9&amp;is_advertising=true&amp;ad_domain=VQCATCORE_LST&amp;ad_position=2&amp;ad_click_id=ZTRmMzYwNzctYzI2YS00ZmU1LTk4ZTktYjMwNzVhMzYyNDNm" xr:uid="{00000000-0004-0000-1700-00000B000000}"/>
    <hyperlink ref="E172" r:id="rId12" location="is_advertising=true&amp;position=12&amp;search_layout=grid&amp;type=pad&amp;tracking_id=ebeba3f6-edf6-4e45-9c95-f3069847d8b4&amp;is_advertising=true&amp;ad_domain=VQCATCORE_LST&amp;ad_position=12&amp;ad_click_id=ZTc2OTdlYzktYmNlZi00YjQ5LWE5YzYtNDJkYTgxZjRjMmFk" display="https://articulo.mercadolibre.com.ar/MLA-1100372207-set-juego-llaves-tubo-irimo-de-bahco-caja-101-piezas-12-14-_JM#is_advertising=true&amp;position=12&amp;search_layout=grid&amp;type=pad&amp;tracking_id=ebeba3f6-edf6-4e45-9c95-f3069847d8b4&amp;is_advertising=true&amp;ad_domain=VQCATCORE_LST&amp;ad_position=12&amp;ad_click_id=ZTc2OTdlYzktYmNlZi00YjQ5LWE5YzYtNDJkYTgxZjRjMmFk" xr:uid="{00000000-0004-0000-1700-00000C000000}"/>
    <hyperlink ref="E173" r:id="rId13" location="is_advertising=true&amp;position=2&amp;search_layout=stack&amp;type=pad&amp;tracking_id=d5b26f95-4ab5-47d6-a824-cdfab7b17a61&amp;is_advertising=true&amp;ad_domain=VQCATCORE_LST&amp;ad_position=2&amp;ad_click_id=MDQwNmQzOTktY2QwYi00MWM4LWIwMWUtNWJiMmFiYmQ0ZDgw" display="https://articulo.mercadolibre.com.ar/MLA-1380905597-juego-set-kit-llaves-combinadas-x-12-pcs-8-a-24-_JM#is_advertising=true&amp;position=2&amp;search_layout=stack&amp;type=pad&amp;tracking_id=d5b26f95-4ab5-47d6-a824-cdfab7b17a61&amp;is_advertising=true&amp;ad_domain=VQCATCORE_LST&amp;ad_position=2&amp;ad_click_id=MDQwNmQzOTktY2QwYi00MWM4LWIwMWUtNWJiMmFiYmQ0ZDgw" xr:uid="{00000000-0004-0000-1700-00000D000000}"/>
    <hyperlink ref="E174" r:id="rId14" location="is_advertising=true&amp;position=2&amp;search_layout=grid&amp;type=pad&amp;tracking_id=eb46b42b-213f-4381-9fbb-40354ba0abe8&amp;is_advertising=true&amp;ad_domain=VQCATCORE_LST&amp;ad_position=2&amp;ad_click_id=NWMxY2MyYWYtMjFiYy00NDhkLWIzOGYtYWMxOTIwNDg3Mjkw" display="https://articulo.mercadolibre.com.ar/MLA-872275514-taladro-atornillador-percutor-lusqtoff-18v-inalambrico-2-bat-_JM#is_advertising=true&amp;position=2&amp;search_layout=grid&amp;type=pad&amp;tracking_id=eb46b42b-213f-4381-9fbb-40354ba0abe8&amp;is_advertising=true&amp;ad_domain=VQCATCORE_LST&amp;ad_position=2&amp;ad_click_id=NWMxY2MyYWYtMjFiYy00NDhkLWIzOGYtYWMxOTIwNDg3Mjkw" xr:uid="{00000000-0004-0000-1700-00000E000000}"/>
    <hyperlink ref="E175" r:id="rId15" xr:uid="{00000000-0004-0000-1700-00000F000000}"/>
    <hyperlink ref="E176" r:id="rId16" location="position=55&amp;search_layout=stack&amp;type=item&amp;tracking_id=4cf1e70f-08d0-49b9-914a-f87776d02fd6" xr:uid="{00000000-0004-0000-1700-000010000000}"/>
    <hyperlink ref="E177" r:id="rId17" location="is_advertising=true&amp;searchVariation=MLA26051322&amp;position=2&amp;search_layout=stack&amp;type=pad&amp;tracking_id=1cb6e3ca-4209-4229-8113-b9154b7643e9&amp;is_advertising=true&amp;ad_domain=VQCATCORE_LST&amp;ad_position=2&amp;ad_click_id=MGIyYmI2MzAtNmMzZS00MDc1LWI5NzItYzViMDJhYWEzNzg0" display="https://www.mercadolibre.com.ar/soldadora-inverter-gamma-250a-arc250-electrodos-h-5-mm-color-celeste-frecuencia-50-hz/p/MLA26051322?pdp_filters=item_id:MLA1383534577#is_advertising=true&amp;searchVariation=MLA26051322&amp;position=2&amp;search_layout=stack&amp;type=pad&amp;tracking_id=1cb6e3ca-4209-4229-8113-b9154b7643e9&amp;is_advertising=true&amp;ad_domain=VQCATCORE_LST&amp;ad_position=2&amp;ad_click_id=MGIyYmI2MzAtNmMzZS00MDc1LWI5NzItYzViMDJhYWEzNzg0" xr:uid="{00000000-0004-0000-1700-000011000000}"/>
    <hyperlink ref="E178" r:id="rId18" location="is_advertising=true&amp;position=2&amp;search_layout=stack&amp;type=pad&amp;tracking_id=9e5dfb84-16f1-4e35-92bd-738756b72e0e&amp;is_advertising=true&amp;ad_domain=VQCATCORE_LST&amp;ad_position=2&amp;ad_click_id=NTIzODlkMWUtNTc3Zi00NjRiLWFlNzQtZDYzM2M1NWE2MTA1" display="https://articulo.mercadolibre.com.ar/MLA-813143293-guardarropa-metalico-4-puertas-largas-locker-vestuario-nuevo-_JM#is_advertising=true&amp;position=2&amp;search_layout=stack&amp;type=pad&amp;tracking_id=9e5dfb84-16f1-4e35-92bd-738756b72e0e&amp;is_advertising=true&amp;ad_domain=VQCATCORE_LST&amp;ad_position=2&amp;ad_click_id=NTIzODlkMWUtNTc3Zi00NjRiLWFlNzQtZDYzM2M1NWE2MTA1" xr:uid="{00000000-0004-0000-1700-000012000000}"/>
    <hyperlink ref="E179" r:id="rId19" location="is_advertising=true&amp;searchVariation=MLA16113646&amp;position=1&amp;search_layout=grid&amp;type=pad&amp;tracking_id=e23d5db9-af1e-4d34-b7db-895d3a65a455&amp;is_advertising=true&amp;ad_domain=VQCATCORE_LST&amp;ad_position=1&amp;ad_click_id=MDFmNTU2NzQtMjhjNC00MGZlLWI5YTgtNzFlNWVkMWZjNjAx" display="https://www.mercadolibre.com.ar/silla-de-escritorio-desillas-darwin-ergonomica-negra-con-tapizado-de-mesh/p/MLA16113646?pdp_filters=item_id:MLA915989789#is_advertising=true&amp;searchVariation=MLA16113646&amp;position=1&amp;search_layout=grid&amp;type=pad&amp;tracking_id=e23d5db9-af1e-4d34-b7db-895d3a65a455&amp;is_advertising=true&amp;ad_domain=VQCATCORE_LST&amp;ad_position=1&amp;ad_click_id=MDFmNTU2NzQtMjhjNC00MGZlLWI5YTgtNzFlNWVkMWZjNjAx" xr:uid="{00000000-0004-0000-1700-000013000000}"/>
    <hyperlink ref="E180" r:id="rId20" location="is_advertising=true&amp;position=1&amp;search_layout=stack&amp;type=pad&amp;tracking_id=8ef2dc35-3b40-43a6-867a-06eab8b637fb&amp;is_advertising=true&amp;ad_domain=VQCATCORE_LST&amp;ad_position=1&amp;ad_click_id=MmZhZGVhNjQtMGUyMy00ZGQ2LTgwZDctODE3NDJhMTQ1YmFi" display="https://articulo.mercadolibre.com.ar/MLA-1213213798-mesa-carro-lusqtoff-porta-herramientas-3-estantes-con-ruedas-_JM#is_advertising=true&amp;position=1&amp;search_layout=stack&amp;type=pad&amp;tracking_id=8ef2dc35-3b40-43a6-867a-06eab8b637fb&amp;is_advertising=true&amp;ad_domain=VQCATCORE_LST&amp;ad_position=1&amp;ad_click_id=MmZhZGVhNjQtMGUyMy00ZGQ2LTgwZDctODE3NDJhMTQ1YmFi" xr:uid="{00000000-0004-0000-1700-000014000000}"/>
    <hyperlink ref="E181" r:id="rId21" location="searchVariation=MLA15980779&amp;position=5&amp;search_layout=grid&amp;type=product&amp;tracking_id=1d351e61-46b4-468d-994b-9a0ac7c81323" display="https://www.mercadolibre.com.ar/escritorio-su-office-004-fan-0021-melamina-de-1630mm-x-753mm-x-600mm-x-1400mm-haya-y-negro/p/MLA15980779?pdp_filters=category:MLA30991#searchVariation=MLA15980779&amp;position=5&amp;search_layout=grid&amp;type=product&amp;tracking_id=1d351e61-46b4-468d-994b-9a0ac7c81323" xr:uid="{00000000-0004-0000-1700-000015000000}"/>
    <hyperlink ref="E182" r:id="rId22" location="position=29&amp;search_layout=grid&amp;type=item&amp;tracking_id=c77c07ab-d06c-47ba-b42e-2d9a707413a5" xr:uid="{00000000-0004-0000-1700-000016000000}"/>
    <hyperlink ref="E183" r:id="rId23" location="is_advertising=true&amp;position=2&amp;search_layout=grid&amp;type=pad&amp;tracking_id=5c184596-a460-42b6-a97a-e8265539b3e3&amp;is_advertising=true&amp;ad_domain=VQCATCORE_LST&amp;ad_position=2&amp;ad_click_id=MmY2NWZlMDAtNTU4Yi00ODkxLThlMjUtODljN2VmN2UxNTgw" display="https://articulo.mercadolibre.com.ar/MLA-1179564749-silla-tolix-clasicas-de-metal-negro-mate-resistente-diseno-_JM#is_advertising=true&amp;position=2&amp;search_layout=grid&amp;type=pad&amp;tracking_id=5c184596-a460-42b6-a97a-e8265539b3e3&amp;is_advertising=true&amp;ad_domain=VQCATCORE_LST&amp;ad_position=2&amp;ad_click_id=MmY2NWZlMDAtNTU4Yi00ODkxLThlMjUtODljN2VmN2UxNTgw" xr:uid="{00000000-0004-0000-1700-000017000000}"/>
    <hyperlink ref="E184" r:id="rId24" location="position=19&amp;search_layout=grid&amp;type=item&amp;tracking_id=c92cd9f9-5aef-432f-99af-fb66b73c010c" xr:uid="{00000000-0004-0000-1700-000018000000}"/>
    <hyperlink ref="E185" r:id="rId25" location="searchVariation=MLA16209341&amp;position=2&amp;search_layout=stack&amp;type=product&amp;tracking_id=2fed57b4-dc3e-4e8a-a476-9c172704c9db" xr:uid="{00000000-0004-0000-1700-000019000000}"/>
    <hyperlink ref="E186" r:id="rId26" location="position=49&amp;search_layout=grid&amp;type=item&amp;tracking_id=c596fd26-28f6-436a-b413-2dbeb4b4d141" xr:uid="{00000000-0004-0000-1700-00001A000000}"/>
    <hyperlink ref="E187" r:id="rId27" location="position=6&amp;search_layout=grid&amp;type=item&amp;tracking_id=185b086b-c093-4ef8-a74b-70b9a83606e9" xr:uid="{00000000-0004-0000-1700-00001B000000}"/>
    <hyperlink ref="E188" r:id="rId28" location="position=26&amp;search_layout=grid&amp;type=item&amp;tracking_id=f4f35201-545e-4ad4-8b60-ce6f597d98ef" xr:uid="{00000000-0004-0000-1700-00001C000000}"/>
    <hyperlink ref="E189" r:id="rId29" location="position=18&amp;search_layout=stack&amp;type=item&amp;tracking_id=fbfdc2b3-b6a7-4085-b13b-3779432a5f2a" xr:uid="{00000000-0004-0000-1700-00001D000000}"/>
    <hyperlink ref="E190" r:id="rId30" location="position=23&amp;search_layout=grid&amp;type=item&amp;tracking_id=14430c65-c2bc-4793-9b76-3edb69c33f44" xr:uid="{00000000-0004-0000-1700-00001E000000}"/>
    <hyperlink ref="E164" r:id="rId31" xr:uid="{00000000-0004-0000-1700-00001F000000}"/>
  </hyperlinks>
  <pageMargins left="0.7" right="0.7" top="0.75" bottom="0.75" header="0.3" footer="0.3"/>
  <pageSetup paperSize="9" orientation="portrait" r:id="rId3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B2:O157"/>
  <sheetViews>
    <sheetView showGridLines="0" topLeftCell="A21" zoomScale="70" zoomScaleNormal="70" workbookViewId="0">
      <selection activeCell="D33" sqref="D33"/>
    </sheetView>
  </sheetViews>
  <sheetFormatPr defaultColWidth="8.85546875" defaultRowHeight="14.45"/>
  <cols>
    <col min="1" max="1" width="7.28515625" customWidth="1"/>
    <col min="2" max="2" width="44" customWidth="1"/>
    <col min="3" max="3" width="15.7109375" customWidth="1"/>
    <col min="4" max="4" width="18.140625" customWidth="1"/>
    <col min="5" max="5" width="17.140625" customWidth="1"/>
    <col min="6" max="6" width="19.140625" customWidth="1"/>
    <col min="7" max="7" width="16.5703125" customWidth="1"/>
    <col min="8" max="8" width="20.42578125" bestFit="1" customWidth="1"/>
    <col min="9" max="9" width="16.28515625" bestFit="1" customWidth="1"/>
    <col min="10" max="10" width="15.5703125" customWidth="1"/>
    <col min="11" max="11" width="16.85546875" customWidth="1"/>
    <col min="12" max="12" width="17.140625" customWidth="1"/>
    <col min="14" max="14" width="22.7109375" bestFit="1" customWidth="1"/>
    <col min="15" max="15" width="13.7109375" bestFit="1" customWidth="1"/>
    <col min="16" max="16" width="22.5703125" customWidth="1"/>
  </cols>
  <sheetData>
    <row r="2" spans="2:15">
      <c r="B2" s="1305" t="s">
        <v>126</v>
      </c>
      <c r="C2" s="337" t="s">
        <v>49</v>
      </c>
    </row>
    <row r="3" spans="2:15" ht="15" thickBot="1"/>
    <row r="4" spans="2:15" ht="15" thickBot="1">
      <c r="B4" s="1673" t="s">
        <v>1021</v>
      </c>
      <c r="C4" s="1674"/>
      <c r="D4" s="1674"/>
      <c r="E4" s="1674"/>
      <c r="F4" s="1674"/>
      <c r="G4" s="1674"/>
      <c r="H4" s="1674"/>
      <c r="I4" s="1674"/>
      <c r="J4" s="1674"/>
      <c r="K4" s="1674"/>
      <c r="L4" s="1675"/>
      <c r="N4" s="859" t="s">
        <v>166</v>
      </c>
      <c r="O4" s="860">
        <v>1002.5</v>
      </c>
    </row>
    <row r="5" spans="2:15" ht="15" thickBot="1">
      <c r="B5" s="1353"/>
      <c r="C5" s="1671">
        <v>2024</v>
      </c>
      <c r="D5" s="1672"/>
      <c r="E5" s="1671">
        <v>2025</v>
      </c>
      <c r="F5" s="1672"/>
      <c r="G5" s="1706">
        <v>2026</v>
      </c>
      <c r="H5" s="1706"/>
      <c r="I5" s="1671">
        <v>2027</v>
      </c>
      <c r="J5" s="1672"/>
      <c r="K5" s="1671">
        <v>2028</v>
      </c>
      <c r="L5" s="1672"/>
      <c r="N5" s="861" t="s">
        <v>167</v>
      </c>
      <c r="O5" s="862">
        <v>2.1999999999999999E-2</v>
      </c>
    </row>
    <row r="6" spans="2:15" ht="15" thickBot="1">
      <c r="B6" s="239" t="s">
        <v>345</v>
      </c>
      <c r="C6" s="240" t="s">
        <v>1022</v>
      </c>
      <c r="D6" s="241" t="s">
        <v>1023</v>
      </c>
      <c r="E6" s="240" t="s">
        <v>1022</v>
      </c>
      <c r="F6" s="241" t="s">
        <v>1023</v>
      </c>
      <c r="G6" s="242" t="s">
        <v>1022</v>
      </c>
      <c r="H6" s="281" t="s">
        <v>1023</v>
      </c>
      <c r="I6" s="240" t="s">
        <v>1022</v>
      </c>
      <c r="J6" s="241" t="s">
        <v>1023</v>
      </c>
      <c r="K6" s="240" t="s">
        <v>1022</v>
      </c>
      <c r="L6" s="241" t="s">
        <v>1023</v>
      </c>
    </row>
    <row r="7" spans="2:15">
      <c r="B7" s="237" t="s">
        <v>1024</v>
      </c>
      <c r="C7" s="838">
        <f>F39</f>
        <v>2826.0674625935167</v>
      </c>
      <c r="D7" s="884">
        <f t="shared" ref="D7:D18" si="0">C7*12</f>
        <v>33912.809551122198</v>
      </c>
      <c r="E7" s="885">
        <f>F40</f>
        <v>2888.2409467705743</v>
      </c>
      <c r="F7" s="886">
        <f t="shared" ref="F7:F25" si="1">E7*12</f>
        <v>34658.89136124689</v>
      </c>
      <c r="G7" s="887">
        <f>F41</f>
        <v>2951.7822475995267</v>
      </c>
      <c r="H7" s="888">
        <f>G7*12</f>
        <v>35421.386971194319</v>
      </c>
      <c r="I7" s="885">
        <f>F42</f>
        <v>3016.7214570467168</v>
      </c>
      <c r="J7" s="889">
        <f>I7*12</f>
        <v>36200.657484560601</v>
      </c>
      <c r="K7" s="885">
        <f>F43</f>
        <v>3083.0893291017446</v>
      </c>
      <c r="L7" s="889">
        <f t="shared" ref="L7:L25" si="2">K7*12</f>
        <v>36997.071949220932</v>
      </c>
    </row>
    <row r="8" spans="2:15">
      <c r="B8" s="237" t="s">
        <v>1025</v>
      </c>
      <c r="C8" s="838">
        <f>F47</f>
        <v>2597.9988603491274</v>
      </c>
      <c r="D8" s="884">
        <f t="shared" si="0"/>
        <v>31175.986324189529</v>
      </c>
      <c r="E8" s="885">
        <f>F48</f>
        <v>2655.1548352768082</v>
      </c>
      <c r="F8" s="886">
        <f t="shared" si="1"/>
        <v>31861.8580233217</v>
      </c>
      <c r="G8" s="887">
        <f>F49</f>
        <v>2713.568241652898</v>
      </c>
      <c r="H8" s="888">
        <f>G8*12</f>
        <v>32562.818899834776</v>
      </c>
      <c r="I8" s="885">
        <f>F50</f>
        <v>2773.2667429692615</v>
      </c>
      <c r="J8" s="889">
        <f>I8*12</f>
        <v>33279.20091563114</v>
      </c>
      <c r="K8" s="885">
        <f>F51</f>
        <v>2834.2786113145853</v>
      </c>
      <c r="L8" s="889">
        <f t="shared" si="2"/>
        <v>34011.343335775025</v>
      </c>
    </row>
    <row r="9" spans="2:15">
      <c r="B9" s="237" t="s">
        <v>1026</v>
      </c>
      <c r="C9" s="838">
        <f>F55</f>
        <v>0</v>
      </c>
      <c r="D9" s="884">
        <f t="shared" si="0"/>
        <v>0</v>
      </c>
      <c r="E9" s="885">
        <f>F56</f>
        <v>0</v>
      </c>
      <c r="F9" s="886">
        <f t="shared" si="1"/>
        <v>0</v>
      </c>
      <c r="G9" s="887">
        <f>F57</f>
        <v>2713.568241652898</v>
      </c>
      <c r="H9" s="888">
        <f>G9*12</f>
        <v>32562.818899834776</v>
      </c>
      <c r="I9" s="885">
        <f>F58</f>
        <v>2773.2667429692615</v>
      </c>
      <c r="J9" s="889">
        <f>I9*12</f>
        <v>33279.20091563114</v>
      </c>
      <c r="K9" s="885">
        <f>F59</f>
        <v>2834.2786113145853</v>
      </c>
      <c r="L9" s="889">
        <f t="shared" si="2"/>
        <v>34011.343335775025</v>
      </c>
    </row>
    <row r="10" spans="2:15">
      <c r="B10" s="237" t="s">
        <v>1027</v>
      </c>
      <c r="C10" s="838">
        <f>F63</f>
        <v>0</v>
      </c>
      <c r="D10" s="884">
        <f t="shared" si="0"/>
        <v>0</v>
      </c>
      <c r="E10" s="885">
        <f>F64</f>
        <v>0</v>
      </c>
      <c r="F10" s="886">
        <f t="shared" si="1"/>
        <v>0</v>
      </c>
      <c r="G10" s="887">
        <f>F65</f>
        <v>2713.568241652898</v>
      </c>
      <c r="H10" s="888">
        <f>G10*12</f>
        <v>32562.818899834776</v>
      </c>
      <c r="I10" s="885">
        <f>F66</f>
        <v>2773.2667429692615</v>
      </c>
      <c r="J10" s="889">
        <f>I10*12</f>
        <v>33279.20091563114</v>
      </c>
      <c r="K10" s="885">
        <f>F67</f>
        <v>2834.2786113145853</v>
      </c>
      <c r="L10" s="889">
        <f t="shared" si="2"/>
        <v>34011.343335775025</v>
      </c>
    </row>
    <row r="11" spans="2:15">
      <c r="B11" s="237" t="s">
        <v>1028</v>
      </c>
      <c r="C11" s="838">
        <f>F71</f>
        <v>0</v>
      </c>
      <c r="D11" s="884">
        <f t="shared" si="0"/>
        <v>0</v>
      </c>
      <c r="E11" s="885">
        <f>F72</f>
        <v>0</v>
      </c>
      <c r="F11" s="886">
        <f t="shared" si="1"/>
        <v>0</v>
      </c>
      <c r="G11" s="887">
        <f>F73</f>
        <v>0</v>
      </c>
      <c r="H11" s="888">
        <f t="shared" ref="H11:H16" si="3">G11*12</f>
        <v>0</v>
      </c>
      <c r="I11" s="885">
        <f>F74</f>
        <v>1996.3286554351253</v>
      </c>
      <c r="J11" s="889">
        <f t="shared" ref="J11:J16" si="4">I11*12</f>
        <v>23955.943865221503</v>
      </c>
      <c r="K11" s="885">
        <f>F75</f>
        <v>2040.2478858546979</v>
      </c>
      <c r="L11" s="889">
        <f t="shared" si="2"/>
        <v>24482.974630256373</v>
      </c>
    </row>
    <row r="12" spans="2:15">
      <c r="B12" s="237" t="s">
        <v>1029</v>
      </c>
      <c r="C12" s="838">
        <f>F79</f>
        <v>3877.1662381546139</v>
      </c>
      <c r="D12" s="884">
        <f>C12*12</f>
        <v>46525.994857855367</v>
      </c>
      <c r="E12" s="885">
        <f>F80</f>
        <v>3962.4638953940157</v>
      </c>
      <c r="F12" s="886">
        <f t="shared" si="1"/>
        <v>47549.566744728188</v>
      </c>
      <c r="G12" s="887">
        <f>F81</f>
        <v>4049.6381010926843</v>
      </c>
      <c r="H12" s="888">
        <f t="shared" si="3"/>
        <v>48595.657213112208</v>
      </c>
      <c r="I12" s="885">
        <f>F82</f>
        <v>4138.7301393167236</v>
      </c>
      <c r="J12" s="889">
        <f t="shared" si="4"/>
        <v>49664.761671800683</v>
      </c>
      <c r="K12" s="885">
        <f>F83</f>
        <v>4229.7822023816916</v>
      </c>
      <c r="L12" s="889">
        <f t="shared" si="2"/>
        <v>50757.386428580299</v>
      </c>
    </row>
    <row r="13" spans="2:15">
      <c r="B13" s="251" t="s">
        <v>608</v>
      </c>
      <c r="C13" s="890">
        <f>D97</f>
        <v>3591.0224438902742</v>
      </c>
      <c r="D13" s="891">
        <f t="shared" si="0"/>
        <v>43092.269326683294</v>
      </c>
      <c r="E13" s="885">
        <f>D98</f>
        <v>3670.0249376558604</v>
      </c>
      <c r="F13" s="886">
        <f t="shared" si="1"/>
        <v>44040.299251870325</v>
      </c>
      <c r="G13" s="887">
        <f>D99</f>
        <v>3750.7654862842892</v>
      </c>
      <c r="H13" s="888">
        <f t="shared" si="3"/>
        <v>45009.185835411467</v>
      </c>
      <c r="I13" s="885">
        <f>D100</f>
        <v>3833.282326982544</v>
      </c>
      <c r="J13" s="889">
        <f t="shared" si="4"/>
        <v>45999.387923790528</v>
      </c>
      <c r="K13" s="885">
        <f>D101</f>
        <v>3917.6145381761598</v>
      </c>
      <c r="L13" s="889">
        <f t="shared" si="2"/>
        <v>47011.374458113918</v>
      </c>
    </row>
    <row r="14" spans="2:15">
      <c r="B14" s="237" t="s">
        <v>1030</v>
      </c>
      <c r="C14" s="838">
        <f>F87</f>
        <v>453.11521197007482</v>
      </c>
      <c r="D14" s="884">
        <f>C14*12</f>
        <v>5437.3825436408979</v>
      </c>
      <c r="E14" s="885">
        <f>F88</f>
        <v>463.08374663341647</v>
      </c>
      <c r="F14" s="886">
        <f t="shared" si="1"/>
        <v>5557.0049596009976</v>
      </c>
      <c r="G14" s="887">
        <v>0</v>
      </c>
      <c r="H14" s="888">
        <f t="shared" si="3"/>
        <v>0</v>
      </c>
      <c r="I14" s="885">
        <v>0</v>
      </c>
      <c r="J14" s="889">
        <f t="shared" si="4"/>
        <v>0</v>
      </c>
      <c r="K14" s="885">
        <v>0</v>
      </c>
      <c r="L14" s="889">
        <f t="shared" si="2"/>
        <v>0</v>
      </c>
    </row>
    <row r="15" spans="2:15">
      <c r="B15" s="237" t="s">
        <v>1031</v>
      </c>
      <c r="C15" s="838">
        <f>F92</f>
        <v>754.88279301745638</v>
      </c>
      <c r="D15" s="884">
        <f>C15*12</f>
        <v>9058.5935162094756</v>
      </c>
      <c r="E15" s="885">
        <f>F93</f>
        <v>771.49021446384052</v>
      </c>
      <c r="F15" s="886">
        <f t="shared" si="1"/>
        <v>9257.8825735660866</v>
      </c>
      <c r="G15" s="887">
        <v>0</v>
      </c>
      <c r="H15" s="888">
        <f t="shared" si="3"/>
        <v>0</v>
      </c>
      <c r="I15" s="885">
        <v>0</v>
      </c>
      <c r="J15" s="889">
        <f t="shared" si="4"/>
        <v>0</v>
      </c>
      <c r="K15" s="885">
        <v>0</v>
      </c>
      <c r="L15" s="889">
        <f t="shared" si="2"/>
        <v>0</v>
      </c>
    </row>
    <row r="16" spans="2:15">
      <c r="B16" s="308" t="s">
        <v>1032</v>
      </c>
      <c r="C16" s="892">
        <f>G105</f>
        <v>263.9920199501247</v>
      </c>
      <c r="D16" s="893">
        <f t="shared" si="0"/>
        <v>3167.9042394014964</v>
      </c>
      <c r="E16" s="892">
        <f>G106</f>
        <v>316.44993915211973</v>
      </c>
      <c r="F16" s="893">
        <f t="shared" si="1"/>
        <v>3797.3992698254369</v>
      </c>
      <c r="G16" s="892">
        <f>G107</f>
        <v>442.60282993316707</v>
      </c>
      <c r="H16" s="894">
        <f t="shared" si="3"/>
        <v>5311.2339591980053</v>
      </c>
      <c r="I16" s="892">
        <f>G108</f>
        <v>452.34009219169678</v>
      </c>
      <c r="J16" s="895">
        <f t="shared" si="4"/>
        <v>5428.0811063003612</v>
      </c>
      <c r="K16" s="892">
        <f>G109</f>
        <v>574.33535001175221</v>
      </c>
      <c r="L16" s="895">
        <f t="shared" si="2"/>
        <v>6892.0242001410261</v>
      </c>
    </row>
    <row r="17" spans="2:12">
      <c r="B17" s="237" t="s">
        <v>1033</v>
      </c>
      <c r="C17" s="838">
        <f>J113</f>
        <v>5.4269326683291759</v>
      </c>
      <c r="D17" s="884">
        <f t="shared" si="0"/>
        <v>65.12319201995011</v>
      </c>
      <c r="E17" s="838">
        <f>J114</f>
        <v>10.03884858852868</v>
      </c>
      <c r="F17" s="884">
        <f t="shared" si="1"/>
        <v>120.46618306234416</v>
      </c>
      <c r="G17" s="838">
        <f>J115</f>
        <v>17.288450240498751</v>
      </c>
      <c r="H17" s="896">
        <f t="shared" ref="H17:H25" si="5">G17*12</f>
        <v>207.46140288598502</v>
      </c>
      <c r="I17" s="842">
        <f>J116</f>
        <v>26.6480204166009</v>
      </c>
      <c r="J17" s="897">
        <f t="shared" ref="J17:J25" si="6">I17*12</f>
        <v>319.7762449992108</v>
      </c>
      <c r="K17" s="842">
        <f>J117</f>
        <v>45.587811275304155</v>
      </c>
      <c r="L17" s="897">
        <f t="shared" si="2"/>
        <v>547.05373530364989</v>
      </c>
    </row>
    <row r="18" spans="2:12">
      <c r="B18" s="237" t="s">
        <v>1034</v>
      </c>
      <c r="C18" s="838">
        <f>D121</f>
        <v>54.862842892768079</v>
      </c>
      <c r="D18" s="884">
        <f t="shared" si="0"/>
        <v>658.35411471321697</v>
      </c>
      <c r="E18" s="885">
        <f>D122</f>
        <v>56.069825436408976</v>
      </c>
      <c r="F18" s="886">
        <f t="shared" si="1"/>
        <v>672.83790523690777</v>
      </c>
      <c r="G18" s="887">
        <f>D123</f>
        <v>57.303361596009978</v>
      </c>
      <c r="H18" s="898">
        <f t="shared" si="5"/>
        <v>687.64033915211974</v>
      </c>
      <c r="I18" s="885">
        <f>D124</f>
        <v>58.564035551122203</v>
      </c>
      <c r="J18" s="889">
        <f t="shared" si="6"/>
        <v>702.76842661346643</v>
      </c>
      <c r="K18" s="885">
        <f>D125</f>
        <v>59.852444333246893</v>
      </c>
      <c r="L18" s="889">
        <f t="shared" si="2"/>
        <v>718.22933199896272</v>
      </c>
    </row>
    <row r="19" spans="2:12">
      <c r="B19" s="237" t="s">
        <v>1035</v>
      </c>
      <c r="C19" s="838">
        <v>200</v>
      </c>
      <c r="D19" s="884">
        <f>+C19*12</f>
        <v>2400</v>
      </c>
      <c r="E19" s="842">
        <f>C19*1.5</f>
        <v>300</v>
      </c>
      <c r="F19" s="840">
        <f t="shared" si="1"/>
        <v>3600</v>
      </c>
      <c r="G19" s="839">
        <f>E19*1.5</f>
        <v>450</v>
      </c>
      <c r="H19" s="899">
        <f t="shared" si="5"/>
        <v>5400</v>
      </c>
      <c r="I19" s="839">
        <f>G19*(1+O5)</f>
        <v>459.90000000000003</v>
      </c>
      <c r="J19" s="840">
        <f t="shared" si="6"/>
        <v>5518.8</v>
      </c>
      <c r="K19" s="839">
        <f>I19*1.2</f>
        <v>551.88</v>
      </c>
      <c r="L19" s="840">
        <f t="shared" si="2"/>
        <v>6622.5599999999995</v>
      </c>
    </row>
    <row r="20" spans="2:12">
      <c r="B20" s="251" t="s">
        <v>1036</v>
      </c>
      <c r="C20" s="900">
        <v>50</v>
      </c>
      <c r="D20" s="901">
        <f>+C20*12</f>
        <v>600</v>
      </c>
      <c r="E20" s="885">
        <v>60</v>
      </c>
      <c r="F20" s="889">
        <f t="shared" si="1"/>
        <v>720</v>
      </c>
      <c r="G20" s="887">
        <v>84</v>
      </c>
      <c r="H20" s="898">
        <f t="shared" si="5"/>
        <v>1008</v>
      </c>
      <c r="I20" s="885">
        <v>92</v>
      </c>
      <c r="J20" s="889">
        <f t="shared" si="6"/>
        <v>1104</v>
      </c>
      <c r="K20" s="885">
        <v>104</v>
      </c>
      <c r="L20" s="889">
        <f t="shared" si="2"/>
        <v>1248</v>
      </c>
    </row>
    <row r="21" spans="2:12">
      <c r="B21" s="237" t="s">
        <v>218</v>
      </c>
      <c r="C21" s="838">
        <f>F129</f>
        <v>847.88029925187038</v>
      </c>
      <c r="D21" s="884">
        <f>+C21*12</f>
        <v>10174.563591022445</v>
      </c>
      <c r="E21" s="842">
        <f>F130</f>
        <v>1386.4538653366583</v>
      </c>
      <c r="F21" s="840">
        <f t="shared" si="1"/>
        <v>16637.4463840399</v>
      </c>
      <c r="G21" s="842">
        <f>F131</f>
        <v>2125.4337755610973</v>
      </c>
      <c r="H21" s="899">
        <f t="shared" si="5"/>
        <v>25505.205306733165</v>
      </c>
      <c r="I21" s="842">
        <f>F132</f>
        <v>2353.2094285087278</v>
      </c>
      <c r="J21" s="840">
        <f t="shared" si="6"/>
        <v>28238.513142104734</v>
      </c>
      <c r="K21" s="842">
        <f>F133</f>
        <v>3144.9738931469728</v>
      </c>
      <c r="L21" s="840">
        <f t="shared" si="2"/>
        <v>37739.686717763674</v>
      </c>
    </row>
    <row r="22" spans="2:12">
      <c r="B22" s="237" t="s">
        <v>1037</v>
      </c>
      <c r="C22" s="838">
        <v>500</v>
      </c>
      <c r="D22" s="884">
        <f>C22*12</f>
        <v>6000</v>
      </c>
      <c r="E22" s="885">
        <v>700</v>
      </c>
      <c r="F22" s="886">
        <f t="shared" si="1"/>
        <v>8400</v>
      </c>
      <c r="G22" s="887">
        <v>900</v>
      </c>
      <c r="H22" s="898">
        <f t="shared" si="5"/>
        <v>10800</v>
      </c>
      <c r="I22" s="885">
        <v>1200</v>
      </c>
      <c r="J22" s="889">
        <f t="shared" si="6"/>
        <v>14400</v>
      </c>
      <c r="K22" s="885">
        <v>1300</v>
      </c>
      <c r="L22" s="889">
        <f t="shared" si="2"/>
        <v>15600</v>
      </c>
    </row>
    <row r="23" spans="2:12">
      <c r="B23" s="237" t="s">
        <v>1038</v>
      </c>
      <c r="C23" s="838">
        <v>1000</v>
      </c>
      <c r="D23" s="884">
        <f>C23*12</f>
        <v>12000</v>
      </c>
      <c r="E23" s="885">
        <v>850</v>
      </c>
      <c r="F23" s="886">
        <f t="shared" si="1"/>
        <v>10200</v>
      </c>
      <c r="G23" s="887">
        <v>850</v>
      </c>
      <c r="H23" s="898">
        <f t="shared" si="5"/>
        <v>10200</v>
      </c>
      <c r="I23" s="885">
        <v>750</v>
      </c>
      <c r="J23" s="889">
        <f t="shared" si="6"/>
        <v>9000</v>
      </c>
      <c r="K23" s="885">
        <v>750</v>
      </c>
      <c r="L23" s="889">
        <f t="shared" si="2"/>
        <v>9000</v>
      </c>
    </row>
    <row r="24" spans="2:12">
      <c r="B24" s="237" t="s">
        <v>1039</v>
      </c>
      <c r="C24" s="838">
        <f>F137</f>
        <v>1219.9850166988422</v>
      </c>
      <c r="D24" s="884">
        <f>C24*12</f>
        <v>14639.820200386106</v>
      </c>
      <c r="E24" s="885">
        <f>F138</f>
        <v>1637.9613141144978</v>
      </c>
      <c r="F24" s="886">
        <f t="shared" si="1"/>
        <v>19655.535769373972</v>
      </c>
      <c r="G24" s="887">
        <f>F139</f>
        <v>1831.7979292539956</v>
      </c>
      <c r="H24" s="898">
        <f t="shared" si="5"/>
        <v>21981.575151047946</v>
      </c>
      <c r="I24" s="885">
        <f>F140</f>
        <v>1362.3567406974287</v>
      </c>
      <c r="J24" s="889">
        <f t="shared" si="6"/>
        <v>16348.280888369143</v>
      </c>
      <c r="K24" s="885">
        <f>F141</f>
        <v>1895.5480210383841</v>
      </c>
      <c r="L24" s="889">
        <f t="shared" si="2"/>
        <v>22746.576252460611</v>
      </c>
    </row>
    <row r="25" spans="2:12" ht="15" thickBot="1">
      <c r="B25" s="153" t="s">
        <v>1040</v>
      </c>
      <c r="C25" s="1249">
        <f>E145</f>
        <v>235.99775250482631</v>
      </c>
      <c r="D25" s="1258">
        <f>C25*12</f>
        <v>2831.9730300579158</v>
      </c>
      <c r="E25" s="1250">
        <f>E146</f>
        <v>873.14665705724894</v>
      </c>
      <c r="F25" s="1259">
        <f t="shared" si="1"/>
        <v>10477.759884686988</v>
      </c>
      <c r="G25" s="1251">
        <f>E147</f>
        <v>971.25661662699792</v>
      </c>
      <c r="H25" s="1251">
        <f t="shared" si="5"/>
        <v>11655.079399523975</v>
      </c>
      <c r="I25" s="1250">
        <f>E148</f>
        <v>1418.932261041429</v>
      </c>
      <c r="J25" s="1259">
        <f t="shared" si="6"/>
        <v>17027.187132497147</v>
      </c>
      <c r="K25" s="1251">
        <f>E149</f>
        <v>1953.3682028299522</v>
      </c>
      <c r="L25" s="1259">
        <f t="shared" si="2"/>
        <v>23440.418433959429</v>
      </c>
    </row>
    <row r="26" spans="2:12" ht="15" thickBot="1">
      <c r="B26" s="236" t="s">
        <v>609</v>
      </c>
      <c r="C26" s="843">
        <f t="shared" ref="C26:H26" si="7">SUM(C7:C25)</f>
        <v>18478.397873941823</v>
      </c>
      <c r="D26" s="844">
        <f t="shared" si="7"/>
        <v>221740.77448730191</v>
      </c>
      <c r="E26" s="843">
        <f t="shared" si="7"/>
        <v>20600.579025879979</v>
      </c>
      <c r="F26" s="844">
        <f t="shared" si="7"/>
        <v>247206.94831055973</v>
      </c>
      <c r="G26" s="843">
        <f t="shared" si="7"/>
        <v>26622.573523146963</v>
      </c>
      <c r="H26" s="844">
        <f t="shared" si="7"/>
        <v>319470.88227776357</v>
      </c>
      <c r="I26" s="843">
        <f>SUM(I7:I24)</f>
        <v>28059.881125054471</v>
      </c>
      <c r="J26" s="844">
        <f>SUM(J7:J25)</f>
        <v>353745.76063315076</v>
      </c>
      <c r="K26" s="845">
        <f>SUM(K7:K25)</f>
        <v>32153.115512093664</v>
      </c>
      <c r="L26" s="844">
        <f>SUM(L7:L25)</f>
        <v>385837.38614512392</v>
      </c>
    </row>
    <row r="27" spans="2:12" ht="15" thickBot="1"/>
    <row r="28" spans="2:12" ht="15" thickBot="1">
      <c r="B28" s="1472" t="s">
        <v>1041</v>
      </c>
      <c r="C28" s="1474"/>
    </row>
    <row r="29" spans="2:12" ht="15" thickBot="1">
      <c r="B29" s="233" t="s">
        <v>50</v>
      </c>
      <c r="C29" s="1306" t="s">
        <v>982</v>
      </c>
      <c r="D29" s="140"/>
    </row>
    <row r="30" spans="2:12">
      <c r="B30" s="292">
        <v>2024</v>
      </c>
      <c r="C30" s="289">
        <f>+D26</f>
        <v>221740.77448730191</v>
      </c>
    </row>
    <row r="31" spans="2:12">
      <c r="B31" s="293">
        <v>2025</v>
      </c>
      <c r="C31" s="290">
        <f>+F26</f>
        <v>247206.94831055973</v>
      </c>
    </row>
    <row r="32" spans="2:12">
      <c r="B32" s="293">
        <v>2026</v>
      </c>
      <c r="C32" s="290">
        <f>+H26</f>
        <v>319470.88227776357</v>
      </c>
    </row>
    <row r="33" spans="2:11">
      <c r="B33" s="293">
        <v>2027</v>
      </c>
      <c r="C33" s="290">
        <f>+J26</f>
        <v>353745.76063315076</v>
      </c>
    </row>
    <row r="34" spans="2:11" ht="15" thickBot="1">
      <c r="B34" s="294">
        <v>2028</v>
      </c>
      <c r="C34" s="291">
        <f>+L26</f>
        <v>385837.38614512392</v>
      </c>
    </row>
    <row r="36" spans="2:11" ht="15" thickBot="1"/>
    <row r="37" spans="2:11" ht="15" thickBot="1">
      <c r="B37" s="1653" t="s">
        <v>1042</v>
      </c>
      <c r="C37" s="1654"/>
      <c r="D37" s="1654"/>
      <c r="E37" s="1654"/>
      <c r="F37" s="1655"/>
      <c r="H37" s="1355" t="s">
        <v>824</v>
      </c>
      <c r="I37" s="1316" t="s">
        <v>825</v>
      </c>
      <c r="J37" s="1316" t="s">
        <v>1043</v>
      </c>
      <c r="K37" s="1317" t="s">
        <v>1044</v>
      </c>
    </row>
    <row r="38" spans="2:11" ht="28.9">
      <c r="B38" s="1332" t="s">
        <v>50</v>
      </c>
      <c r="C38" s="1327" t="s">
        <v>227</v>
      </c>
      <c r="D38" s="1327" t="s">
        <v>845</v>
      </c>
      <c r="E38" s="1327" t="s">
        <v>1045</v>
      </c>
      <c r="F38" s="1336" t="s">
        <v>847</v>
      </c>
      <c r="H38" s="128" t="s">
        <v>1046</v>
      </c>
      <c r="I38" s="880">
        <v>1425000</v>
      </c>
      <c r="J38" s="881">
        <f>'3.7 - Costos MOD'!$C$48</f>
        <v>1.9881632500000004</v>
      </c>
      <c r="K38" s="882">
        <f t="shared" ref="K38:K43" si="8">I38*J38</f>
        <v>2833132.6312500006</v>
      </c>
    </row>
    <row r="39" spans="2:11">
      <c r="B39" s="182">
        <v>2024</v>
      </c>
      <c r="C39" s="1360">
        <v>1</v>
      </c>
      <c r="D39" s="487">
        <f>K38</f>
        <v>2833132.6312500006</v>
      </c>
      <c r="E39" s="487">
        <f>D39/$O$4</f>
        <v>2826.0674625935167</v>
      </c>
      <c r="F39" s="235">
        <f>E39*C39</f>
        <v>2826.0674625935167</v>
      </c>
      <c r="H39" s="51" t="s">
        <v>1047</v>
      </c>
      <c r="I39" s="212">
        <v>1310000</v>
      </c>
      <c r="J39" s="141">
        <f>'3.7 - Costos MOD'!$C$48</f>
        <v>1.9881632500000004</v>
      </c>
      <c r="K39" s="235">
        <f t="shared" si="8"/>
        <v>2604493.8575000004</v>
      </c>
    </row>
    <row r="40" spans="2:11">
      <c r="B40" s="182">
        <v>2025</v>
      </c>
      <c r="C40" s="1360">
        <v>1</v>
      </c>
      <c r="D40" s="487">
        <f>D39*(1+$O$5)</f>
        <v>2895461.5491375006</v>
      </c>
      <c r="E40" s="487">
        <f>D40/$O$4</f>
        <v>2888.2409467705743</v>
      </c>
      <c r="F40" s="235">
        <f>E40*C40</f>
        <v>2888.2409467705743</v>
      </c>
      <c r="H40" s="51" t="s">
        <v>1048</v>
      </c>
      <c r="I40" s="212">
        <v>1310000</v>
      </c>
      <c r="J40" s="141">
        <f>'3.7 - Costos MOD'!$C$48</f>
        <v>1.9881632500000004</v>
      </c>
      <c r="K40" s="235">
        <f t="shared" si="8"/>
        <v>2604493.8575000004</v>
      </c>
    </row>
    <row r="41" spans="2:11">
      <c r="B41" s="182">
        <v>2026</v>
      </c>
      <c r="C41" s="1360">
        <v>1</v>
      </c>
      <c r="D41" s="487">
        <f>D40*(1+$O$5)</f>
        <v>2959161.7032185257</v>
      </c>
      <c r="E41" s="487">
        <f>D41/$O$4</f>
        <v>2951.7822475995267</v>
      </c>
      <c r="F41" s="235">
        <f>E41*C41</f>
        <v>2951.7822475995267</v>
      </c>
      <c r="H41" s="51" t="s">
        <v>1049</v>
      </c>
      <c r="I41" s="212">
        <v>1310000</v>
      </c>
      <c r="J41" s="141">
        <f>'3.7 - Costos MOD'!$C$48</f>
        <v>1.9881632500000004</v>
      </c>
      <c r="K41" s="235">
        <f t="shared" si="8"/>
        <v>2604493.8575000004</v>
      </c>
    </row>
    <row r="42" spans="2:11">
      <c r="B42" s="182">
        <v>2027</v>
      </c>
      <c r="C42" s="1360">
        <v>1</v>
      </c>
      <c r="D42" s="487">
        <f>D41*(1+$O$5)</f>
        <v>3024263.2606893335</v>
      </c>
      <c r="E42" s="487">
        <f>D42/$O$4</f>
        <v>3016.7214570467168</v>
      </c>
      <c r="F42" s="235">
        <f>E42*C42</f>
        <v>3016.7214570467168</v>
      </c>
      <c r="H42" s="51" t="s">
        <v>1050</v>
      </c>
      <c r="I42" s="879">
        <v>943000</v>
      </c>
      <c r="J42" s="141">
        <f>'3.7 - Costos MOD'!$C$48</f>
        <v>1.9881632500000004</v>
      </c>
      <c r="K42" s="235">
        <f t="shared" si="8"/>
        <v>1874837.9447500003</v>
      </c>
    </row>
    <row r="43" spans="2:11" ht="15" thickBot="1">
      <c r="B43" s="183">
        <v>2028</v>
      </c>
      <c r="C43" s="1367">
        <v>1</v>
      </c>
      <c r="D43" s="243">
        <f>D42*(1+$O$5)</f>
        <v>3090797.0524244988</v>
      </c>
      <c r="E43" s="243">
        <f>D43/$O$4</f>
        <v>3083.0893291017446</v>
      </c>
      <c r="F43" s="246">
        <f>E43*C43</f>
        <v>3083.0893291017446</v>
      </c>
      <c r="H43" s="32" t="s">
        <v>1051</v>
      </c>
      <c r="I43" s="883">
        <v>1955000</v>
      </c>
      <c r="J43" s="159">
        <f>'3.7 - Costos MOD'!$C$48</f>
        <v>1.9881632500000004</v>
      </c>
      <c r="K43" s="246">
        <f t="shared" si="8"/>
        <v>3886859.1537500005</v>
      </c>
    </row>
    <row r="44" spans="2:11" ht="15" thickBot="1"/>
    <row r="45" spans="2:11" ht="15" thickBot="1">
      <c r="B45" s="1653" t="s">
        <v>1052</v>
      </c>
      <c r="C45" s="1654"/>
      <c r="D45" s="1654"/>
      <c r="E45" s="1654"/>
      <c r="F45" s="1655"/>
    </row>
    <row r="46" spans="2:11" ht="28.9">
      <c r="B46" s="1332" t="s">
        <v>50</v>
      </c>
      <c r="C46" s="1327" t="s">
        <v>227</v>
      </c>
      <c r="D46" s="1327" t="s">
        <v>845</v>
      </c>
      <c r="E46" s="1327" t="s">
        <v>846</v>
      </c>
      <c r="F46" s="1336" t="s">
        <v>847</v>
      </c>
    </row>
    <row r="47" spans="2:11">
      <c r="B47" s="182">
        <v>2024</v>
      </c>
      <c r="C47" s="1360">
        <v>1</v>
      </c>
      <c r="D47" s="487">
        <f>K39</f>
        <v>2604493.8575000004</v>
      </c>
      <c r="E47" s="487">
        <f>D47/$O$4</f>
        <v>2597.9988603491274</v>
      </c>
      <c r="F47" s="235">
        <f>E47*C47</f>
        <v>2597.9988603491274</v>
      </c>
    </row>
    <row r="48" spans="2:11">
      <c r="B48" s="182">
        <v>2025</v>
      </c>
      <c r="C48" s="1360">
        <v>1</v>
      </c>
      <c r="D48" s="487">
        <f>D47*(1+$O$5)</f>
        <v>2661792.7223650003</v>
      </c>
      <c r="E48" s="487">
        <f>D48/$O$4</f>
        <v>2655.1548352768082</v>
      </c>
      <c r="F48" s="235">
        <f>E48*C48</f>
        <v>2655.1548352768082</v>
      </c>
    </row>
    <row r="49" spans="2:6">
      <c r="B49" s="182">
        <v>2026</v>
      </c>
      <c r="C49" s="1360">
        <v>1</v>
      </c>
      <c r="D49" s="487">
        <f>D48*(1+$O$5)</f>
        <v>2720352.1622570301</v>
      </c>
      <c r="E49" s="487">
        <f>D49/$O$4</f>
        <v>2713.568241652898</v>
      </c>
      <c r="F49" s="235">
        <f>E49*C49</f>
        <v>2713.568241652898</v>
      </c>
    </row>
    <row r="50" spans="2:6">
      <c r="B50" s="182">
        <v>2027</v>
      </c>
      <c r="C50" s="1360">
        <v>1</v>
      </c>
      <c r="D50" s="487">
        <f>D49*(1+$O$5)</f>
        <v>2780199.9098266847</v>
      </c>
      <c r="E50" s="487">
        <f>D50/$O$4</f>
        <v>2773.2667429692615</v>
      </c>
      <c r="F50" s="235">
        <f>E50*C50</f>
        <v>2773.2667429692615</v>
      </c>
    </row>
    <row r="51" spans="2:6" ht="15" thickBot="1">
      <c r="B51" s="183">
        <v>2028</v>
      </c>
      <c r="C51" s="1367">
        <v>1</v>
      </c>
      <c r="D51" s="243">
        <f>D50*(1+$O$5)</f>
        <v>2841364.3078428716</v>
      </c>
      <c r="E51" s="243">
        <f>D51/$O$4</f>
        <v>2834.2786113145853</v>
      </c>
      <c r="F51" s="246">
        <f>E51*C51</f>
        <v>2834.2786113145853</v>
      </c>
    </row>
    <row r="52" spans="2:6" ht="15" thickBot="1"/>
    <row r="53" spans="2:6" ht="15" thickBot="1">
      <c r="B53" s="1653" t="s">
        <v>1053</v>
      </c>
      <c r="C53" s="1654"/>
      <c r="D53" s="1654"/>
      <c r="E53" s="1654"/>
      <c r="F53" s="1655"/>
    </row>
    <row r="54" spans="2:6" ht="28.9">
      <c r="B54" s="1332" t="s">
        <v>50</v>
      </c>
      <c r="C54" s="1327" t="s">
        <v>227</v>
      </c>
      <c r="D54" s="1327" t="s">
        <v>845</v>
      </c>
      <c r="E54" s="1327" t="s">
        <v>846</v>
      </c>
      <c r="F54" s="1336" t="s">
        <v>847</v>
      </c>
    </row>
    <row r="55" spans="2:6">
      <c r="B55" s="182">
        <v>2024</v>
      </c>
      <c r="C55" s="1360">
        <v>0</v>
      </c>
      <c r="D55" s="487">
        <f>K40</f>
        <v>2604493.8575000004</v>
      </c>
      <c r="E55" s="487">
        <f>D55/$O$4</f>
        <v>2597.9988603491274</v>
      </c>
      <c r="F55" s="235">
        <f>E55*C55</f>
        <v>0</v>
      </c>
    </row>
    <row r="56" spans="2:6">
      <c r="B56" s="182">
        <v>2025</v>
      </c>
      <c r="C56" s="1360">
        <v>0</v>
      </c>
      <c r="D56" s="487">
        <f>D55*(1+$O$5)</f>
        <v>2661792.7223650003</v>
      </c>
      <c r="E56" s="487">
        <f>D56/$O$4</f>
        <v>2655.1548352768082</v>
      </c>
      <c r="F56" s="235">
        <f>E56*C56</f>
        <v>0</v>
      </c>
    </row>
    <row r="57" spans="2:6">
      <c r="B57" s="182">
        <v>2026</v>
      </c>
      <c r="C57" s="1360">
        <v>1</v>
      </c>
      <c r="D57" s="487">
        <f>D56*(1+$O$5)</f>
        <v>2720352.1622570301</v>
      </c>
      <c r="E57" s="487">
        <f>D57/$O$4</f>
        <v>2713.568241652898</v>
      </c>
      <c r="F57" s="235">
        <f>E57*C57</f>
        <v>2713.568241652898</v>
      </c>
    </row>
    <row r="58" spans="2:6">
      <c r="B58" s="182">
        <v>2027</v>
      </c>
      <c r="C58" s="1360">
        <v>1</v>
      </c>
      <c r="D58" s="487">
        <f>D57*(1+$O$5)</f>
        <v>2780199.9098266847</v>
      </c>
      <c r="E58" s="487">
        <f>D58/$O$4</f>
        <v>2773.2667429692615</v>
      </c>
      <c r="F58" s="235">
        <f>E58*C58</f>
        <v>2773.2667429692615</v>
      </c>
    </row>
    <row r="59" spans="2:6" ht="15" thickBot="1">
      <c r="B59" s="183">
        <v>2028</v>
      </c>
      <c r="C59" s="1367">
        <v>1</v>
      </c>
      <c r="D59" s="243">
        <f>D58*(1+$O$5)</f>
        <v>2841364.3078428716</v>
      </c>
      <c r="E59" s="243">
        <f>D59/$O$4</f>
        <v>2834.2786113145853</v>
      </c>
      <c r="F59" s="246">
        <f>E59*C59</f>
        <v>2834.2786113145853</v>
      </c>
    </row>
    <row r="60" spans="2:6" ht="15" thickBot="1"/>
    <row r="61" spans="2:6" ht="15" thickBot="1">
      <c r="B61" s="1653" t="s">
        <v>1054</v>
      </c>
      <c r="C61" s="1654"/>
      <c r="D61" s="1654"/>
      <c r="E61" s="1654"/>
      <c r="F61" s="1655"/>
    </row>
    <row r="62" spans="2:6" ht="28.9">
      <c r="B62" s="1332" t="s">
        <v>50</v>
      </c>
      <c r="C62" s="1327" t="s">
        <v>227</v>
      </c>
      <c r="D62" s="1327" t="s">
        <v>845</v>
      </c>
      <c r="E62" s="1327" t="s">
        <v>846</v>
      </c>
      <c r="F62" s="1336" t="s">
        <v>847</v>
      </c>
    </row>
    <row r="63" spans="2:6">
      <c r="B63" s="182">
        <v>2024</v>
      </c>
      <c r="C63" s="1360">
        <v>0</v>
      </c>
      <c r="D63" s="487">
        <f>K41</f>
        <v>2604493.8575000004</v>
      </c>
      <c r="E63" s="487">
        <f>D63/$O$4</f>
        <v>2597.9988603491274</v>
      </c>
      <c r="F63" s="235">
        <f>E63*C63</f>
        <v>0</v>
      </c>
    </row>
    <row r="64" spans="2:6">
      <c r="B64" s="182">
        <v>2025</v>
      </c>
      <c r="C64" s="1360">
        <v>0</v>
      </c>
      <c r="D64" s="487">
        <f>D63*(1+$O$5)</f>
        <v>2661792.7223650003</v>
      </c>
      <c r="E64" s="487">
        <f>D64/$O$4</f>
        <v>2655.1548352768082</v>
      </c>
      <c r="F64" s="235">
        <f>E64*C64</f>
        <v>0</v>
      </c>
    </row>
    <row r="65" spans="2:6">
      <c r="B65" s="182">
        <v>2026</v>
      </c>
      <c r="C65" s="1360">
        <v>1</v>
      </c>
      <c r="D65" s="487">
        <f>D64*(1+$O$5)</f>
        <v>2720352.1622570301</v>
      </c>
      <c r="E65" s="487">
        <f>D65/$O$4</f>
        <v>2713.568241652898</v>
      </c>
      <c r="F65" s="235">
        <f>E65*C65</f>
        <v>2713.568241652898</v>
      </c>
    </row>
    <row r="66" spans="2:6">
      <c r="B66" s="182">
        <v>2027</v>
      </c>
      <c r="C66" s="1360">
        <v>1</v>
      </c>
      <c r="D66" s="487">
        <f>D65*(1+$O$5)</f>
        <v>2780199.9098266847</v>
      </c>
      <c r="E66" s="487">
        <f>D66/$O$4</f>
        <v>2773.2667429692615</v>
      </c>
      <c r="F66" s="235">
        <f>E66*C66</f>
        <v>2773.2667429692615</v>
      </c>
    </row>
    <row r="67" spans="2:6" ht="15" thickBot="1">
      <c r="B67" s="183">
        <v>2028</v>
      </c>
      <c r="C67" s="1367">
        <v>1</v>
      </c>
      <c r="D67" s="243">
        <f>D66*(1+$O$5)</f>
        <v>2841364.3078428716</v>
      </c>
      <c r="E67" s="243">
        <f>D67/$O$4</f>
        <v>2834.2786113145853</v>
      </c>
      <c r="F67" s="246">
        <f>E67*C67</f>
        <v>2834.2786113145853</v>
      </c>
    </row>
    <row r="68" spans="2:6" ht="15" thickBot="1"/>
    <row r="69" spans="2:6" ht="15" thickBot="1">
      <c r="B69" s="1653" t="s">
        <v>1055</v>
      </c>
      <c r="C69" s="1654"/>
      <c r="D69" s="1654"/>
      <c r="E69" s="1654"/>
      <c r="F69" s="1655"/>
    </row>
    <row r="70" spans="2:6" ht="28.9">
      <c r="B70" s="1332" t="s">
        <v>50</v>
      </c>
      <c r="C70" s="1327" t="s">
        <v>227</v>
      </c>
      <c r="D70" s="1327" t="s">
        <v>845</v>
      </c>
      <c r="E70" s="1327" t="s">
        <v>846</v>
      </c>
      <c r="F70" s="1336" t="s">
        <v>847</v>
      </c>
    </row>
    <row r="71" spans="2:6">
      <c r="B71" s="182">
        <v>2024</v>
      </c>
      <c r="C71" s="1360">
        <v>0</v>
      </c>
      <c r="D71" s="487">
        <f>K42</f>
        <v>1874837.9447500003</v>
      </c>
      <c r="E71" s="487">
        <f>D71/$O$4</f>
        <v>1870.1625384039903</v>
      </c>
      <c r="F71" s="235">
        <f>E71*C71</f>
        <v>0</v>
      </c>
    </row>
    <row r="72" spans="2:6">
      <c r="B72" s="182">
        <v>2025</v>
      </c>
      <c r="C72" s="1360">
        <v>0</v>
      </c>
      <c r="D72" s="487">
        <f>D71*(1+$O$5)</f>
        <v>1916084.3795345002</v>
      </c>
      <c r="E72" s="487">
        <f>D72/$O$4</f>
        <v>1911.306114248878</v>
      </c>
      <c r="F72" s="235">
        <f>E72*C72</f>
        <v>0</v>
      </c>
    </row>
    <row r="73" spans="2:6">
      <c r="B73" s="182">
        <v>2026</v>
      </c>
      <c r="C73" s="1360">
        <v>0</v>
      </c>
      <c r="D73" s="487">
        <f>D72*(1+$O$5)</f>
        <v>1958238.2358842592</v>
      </c>
      <c r="E73" s="487">
        <f>D73/$O$4</f>
        <v>1953.3548487623534</v>
      </c>
      <c r="F73" s="235">
        <f>E73*C73</f>
        <v>0</v>
      </c>
    </row>
    <row r="74" spans="2:6">
      <c r="B74" s="182">
        <v>2027</v>
      </c>
      <c r="C74" s="1360">
        <v>1</v>
      </c>
      <c r="D74" s="487">
        <f>D73*(1+$O$5)</f>
        <v>2001319.477073713</v>
      </c>
      <c r="E74" s="487">
        <f>D74/$O$4</f>
        <v>1996.3286554351253</v>
      </c>
      <c r="F74" s="235">
        <f>E74*C74</f>
        <v>1996.3286554351253</v>
      </c>
    </row>
    <row r="75" spans="2:6" ht="15" thickBot="1">
      <c r="B75" s="183">
        <v>2028</v>
      </c>
      <c r="C75" s="1367">
        <v>1</v>
      </c>
      <c r="D75" s="243">
        <f>D74*(1+$O$5)</f>
        <v>2045348.5055693346</v>
      </c>
      <c r="E75" s="243">
        <f>D75/$O$4</f>
        <v>2040.2478858546979</v>
      </c>
      <c r="F75" s="246">
        <f>E75*C75</f>
        <v>2040.2478858546979</v>
      </c>
    </row>
    <row r="76" spans="2:6" ht="15" thickBot="1"/>
    <row r="77" spans="2:6" ht="15" thickBot="1">
      <c r="B77" s="1653" t="s">
        <v>1056</v>
      </c>
      <c r="C77" s="1654"/>
      <c r="D77" s="1654"/>
      <c r="E77" s="1654"/>
      <c r="F77" s="1655"/>
    </row>
    <row r="78" spans="2:6" ht="28.9">
      <c r="B78" s="1332" t="s">
        <v>50</v>
      </c>
      <c r="C78" s="1327" t="s">
        <v>227</v>
      </c>
      <c r="D78" s="1327" t="s">
        <v>845</v>
      </c>
      <c r="E78" s="1327" t="s">
        <v>846</v>
      </c>
      <c r="F78" s="1336" t="s">
        <v>847</v>
      </c>
    </row>
    <row r="79" spans="2:6">
      <c r="B79" s="182">
        <v>2024</v>
      </c>
      <c r="C79" s="1360">
        <v>1</v>
      </c>
      <c r="D79" s="487">
        <f>K43</f>
        <v>3886859.1537500005</v>
      </c>
      <c r="E79" s="487">
        <f>D79/$O$4</f>
        <v>3877.1662381546139</v>
      </c>
      <c r="F79" s="235">
        <f>E79*C79</f>
        <v>3877.1662381546139</v>
      </c>
    </row>
    <row r="80" spans="2:6">
      <c r="B80" s="182">
        <v>2025</v>
      </c>
      <c r="C80" s="1360">
        <v>1</v>
      </c>
      <c r="D80" s="487">
        <f>D79*(1+$O$5)</f>
        <v>3972370.0551325008</v>
      </c>
      <c r="E80" s="487">
        <f>D80/$O$4</f>
        <v>3962.4638953940157</v>
      </c>
      <c r="F80" s="235">
        <f>E80*C80</f>
        <v>3962.4638953940157</v>
      </c>
    </row>
    <row r="81" spans="2:6">
      <c r="B81" s="182">
        <v>2026</v>
      </c>
      <c r="C81" s="1360">
        <v>1</v>
      </c>
      <c r="D81" s="487">
        <f>D80*(1+$O$5)</f>
        <v>4059762.1963454159</v>
      </c>
      <c r="E81" s="487">
        <f>D81/$O$4</f>
        <v>4049.6381010926843</v>
      </c>
      <c r="F81" s="235">
        <f>E81*C81</f>
        <v>4049.6381010926843</v>
      </c>
    </row>
    <row r="82" spans="2:6">
      <c r="B82" s="182">
        <v>2027</v>
      </c>
      <c r="C82" s="1360">
        <v>1</v>
      </c>
      <c r="D82" s="487">
        <f>D81*(1+$O$5)</f>
        <v>4149076.9646650152</v>
      </c>
      <c r="E82" s="487">
        <f>D82/$O$4</f>
        <v>4138.7301393167236</v>
      </c>
      <c r="F82" s="235">
        <f>E82*C82</f>
        <v>4138.7301393167236</v>
      </c>
    </row>
    <row r="83" spans="2:6" ht="15" thickBot="1">
      <c r="B83" s="183">
        <v>2028</v>
      </c>
      <c r="C83" s="1367">
        <v>1</v>
      </c>
      <c r="D83" s="243">
        <f>D82*(1+$O$5)</f>
        <v>4240356.657887646</v>
      </c>
      <c r="E83" s="243">
        <f>D83/$O$4</f>
        <v>4229.7822023816916</v>
      </c>
      <c r="F83" s="246">
        <f>E83*C83</f>
        <v>4229.7822023816916</v>
      </c>
    </row>
    <row r="84" spans="2:6" ht="15" thickBot="1"/>
    <row r="85" spans="2:6" ht="15" thickBot="1">
      <c r="B85" s="1653" t="s">
        <v>1057</v>
      </c>
      <c r="C85" s="1654"/>
      <c r="D85" s="1654"/>
      <c r="E85" s="1654"/>
      <c r="F85" s="1655"/>
    </row>
    <row r="86" spans="2:6" ht="28.9">
      <c r="B86" s="1332" t="s">
        <v>50</v>
      </c>
      <c r="C86" s="1327" t="s">
        <v>227</v>
      </c>
      <c r="D86" s="1327" t="s">
        <v>845</v>
      </c>
      <c r="E86" s="1327" t="s">
        <v>846</v>
      </c>
      <c r="F86" s="1336" t="s">
        <v>847</v>
      </c>
    </row>
    <row r="87" spans="2:6">
      <c r="B87" s="182">
        <v>2024</v>
      </c>
      <c r="C87" s="1360">
        <v>1</v>
      </c>
      <c r="D87" s="487">
        <f>378540*1.2</f>
        <v>454248</v>
      </c>
      <c r="E87" s="487">
        <f>D87/$O$4</f>
        <v>453.11521197007482</v>
      </c>
      <c r="F87" s="235">
        <f>E87*C87</f>
        <v>453.11521197007482</v>
      </c>
    </row>
    <row r="88" spans="2:6" ht="15" thickBot="1">
      <c r="B88" s="183">
        <v>2025</v>
      </c>
      <c r="C88" s="1367">
        <v>1</v>
      </c>
      <c r="D88" s="243">
        <f>D87*(1+$O$5)</f>
        <v>464241.45600000001</v>
      </c>
      <c r="E88" s="243">
        <f>D88/$O$4</f>
        <v>463.08374663341647</v>
      </c>
      <c r="F88" s="246">
        <f>E88*C88</f>
        <v>463.08374663341647</v>
      </c>
    </row>
    <row r="89" spans="2:6" ht="15" thickBot="1"/>
    <row r="90" spans="2:6" ht="15" thickBot="1">
      <c r="B90" s="1653" t="s">
        <v>1058</v>
      </c>
      <c r="C90" s="1654"/>
      <c r="D90" s="1654"/>
      <c r="E90" s="1654"/>
      <c r="F90" s="1655"/>
    </row>
    <row r="91" spans="2:6" ht="28.9">
      <c r="B91" s="1332" t="s">
        <v>50</v>
      </c>
      <c r="C91" s="1327" t="s">
        <v>227</v>
      </c>
      <c r="D91" s="1327" t="s">
        <v>845</v>
      </c>
      <c r="E91" s="1327" t="s">
        <v>846</v>
      </c>
      <c r="F91" s="1336" t="s">
        <v>847</v>
      </c>
    </row>
    <row r="92" spans="2:6">
      <c r="B92" s="182">
        <v>2024</v>
      </c>
      <c r="C92" s="1360">
        <v>1</v>
      </c>
      <c r="D92" s="487">
        <v>756770</v>
      </c>
      <c r="E92" s="487">
        <f>D92/$O$4</f>
        <v>754.88279301745638</v>
      </c>
      <c r="F92" s="235">
        <f>E92*C92</f>
        <v>754.88279301745638</v>
      </c>
    </row>
    <row r="93" spans="2:6" ht="15" thickBot="1">
      <c r="B93" s="183">
        <v>2025</v>
      </c>
      <c r="C93" s="1367">
        <v>1</v>
      </c>
      <c r="D93" s="243">
        <f>D92*(1+$O$5)</f>
        <v>773418.94000000006</v>
      </c>
      <c r="E93" s="243">
        <f>D93/$O$4</f>
        <v>771.49021446384052</v>
      </c>
      <c r="F93" s="246">
        <f>E93*C93</f>
        <v>771.49021446384052</v>
      </c>
    </row>
    <row r="94" spans="2:6" ht="15" thickBot="1"/>
    <row r="95" spans="2:6" ht="15" thickBot="1">
      <c r="B95" s="1653" t="s">
        <v>1059</v>
      </c>
      <c r="C95" s="1654"/>
      <c r="D95" s="1655"/>
    </row>
    <row r="96" spans="2:6" ht="28.9">
      <c r="B96" s="1332" t="s">
        <v>50</v>
      </c>
      <c r="C96" s="1327" t="s">
        <v>845</v>
      </c>
      <c r="D96" s="1336" t="s">
        <v>846</v>
      </c>
    </row>
    <row r="97" spans="2:10">
      <c r="B97" s="182">
        <v>2024</v>
      </c>
      <c r="C97" s="487">
        <v>3600000</v>
      </c>
      <c r="D97" s="228">
        <f>C97/$O$4</f>
        <v>3591.0224438902742</v>
      </c>
    </row>
    <row r="98" spans="2:10">
      <c r="B98" s="182">
        <v>2025</v>
      </c>
      <c r="C98" s="487">
        <f>C97*(1+$O$5)</f>
        <v>3679200</v>
      </c>
      <c r="D98" s="228">
        <f>C98/$O$4</f>
        <v>3670.0249376558604</v>
      </c>
    </row>
    <row r="99" spans="2:10">
      <c r="B99" s="182">
        <v>2026</v>
      </c>
      <c r="C99" s="487">
        <f>C98*(1+$O$5)</f>
        <v>3760142.4</v>
      </c>
      <c r="D99" s="228">
        <f>C99/$O$4</f>
        <v>3750.7654862842892</v>
      </c>
    </row>
    <row r="100" spans="2:10">
      <c r="B100" s="182">
        <v>2027</v>
      </c>
      <c r="C100" s="487">
        <f>C99*(1+$O$5)</f>
        <v>3842865.5328000002</v>
      </c>
      <c r="D100" s="228">
        <f>C100/$O$4</f>
        <v>3833.282326982544</v>
      </c>
    </row>
    <row r="101" spans="2:10" ht="15" thickBot="1">
      <c r="B101" s="183">
        <v>2028</v>
      </c>
      <c r="C101" s="243">
        <f>C100*(1+$O$5)</f>
        <v>3927408.5745216003</v>
      </c>
      <c r="D101" s="245">
        <f>C101/$O$4</f>
        <v>3917.6145381761598</v>
      </c>
    </row>
    <row r="102" spans="2:10" ht="15" thickBot="1"/>
    <row r="103" spans="2:10" ht="15" thickBot="1">
      <c r="B103" s="1653" t="s">
        <v>853</v>
      </c>
      <c r="C103" s="1654"/>
      <c r="D103" s="1654"/>
      <c r="E103" s="1654"/>
      <c r="F103" s="1654"/>
      <c r="G103" s="1655"/>
    </row>
    <row r="104" spans="2:10" ht="28.9">
      <c r="B104" s="1332" t="s">
        <v>50</v>
      </c>
      <c r="C104" s="1327" t="s">
        <v>854</v>
      </c>
      <c r="D104" s="1327" t="s">
        <v>855</v>
      </c>
      <c r="E104" s="1327" t="s">
        <v>1060</v>
      </c>
      <c r="F104" s="1327" t="s">
        <v>852</v>
      </c>
      <c r="G104" s="1336" t="s">
        <v>847</v>
      </c>
    </row>
    <row r="105" spans="2:10">
      <c r="B105" s="182">
        <v>2024</v>
      </c>
      <c r="C105" s="1360">
        <v>21</v>
      </c>
      <c r="D105" s="487">
        <f>11440</f>
        <v>11440</v>
      </c>
      <c r="E105" s="212">
        <v>24412</v>
      </c>
      <c r="F105" s="487">
        <f>D105*C105+E105</f>
        <v>264652</v>
      </c>
      <c r="G105" s="235">
        <f>F105/$O$4</f>
        <v>263.9920199501247</v>
      </c>
    </row>
    <row r="106" spans="2:10">
      <c r="B106" s="182">
        <v>2025</v>
      </c>
      <c r="C106" s="1360">
        <v>25</v>
      </c>
      <c r="D106" s="487">
        <f t="shared" ref="D106:E109" si="9">D105*(1+$O$5)</f>
        <v>11691.68</v>
      </c>
      <c r="E106" s="487">
        <f t="shared" si="9"/>
        <v>24949.064000000002</v>
      </c>
      <c r="F106" s="487">
        <f>D106*C106+E106</f>
        <v>317241.06400000001</v>
      </c>
      <c r="G106" s="235">
        <f>F106/$O$4</f>
        <v>316.44993915211973</v>
      </c>
    </row>
    <row r="107" spans="2:10">
      <c r="B107" s="182">
        <v>2026</v>
      </c>
      <c r="C107" s="1360">
        <v>35</v>
      </c>
      <c r="D107" s="487">
        <f t="shared" si="9"/>
        <v>11948.89696</v>
      </c>
      <c r="E107" s="487">
        <f t="shared" si="9"/>
        <v>25497.943408000003</v>
      </c>
      <c r="F107" s="487">
        <f>D107*C107+E107</f>
        <v>443709.337008</v>
      </c>
      <c r="G107" s="235">
        <f>F107/$O$4</f>
        <v>442.60282993316707</v>
      </c>
    </row>
    <row r="108" spans="2:10">
      <c r="B108" s="182">
        <v>2027</v>
      </c>
      <c r="C108" s="1360">
        <v>35</v>
      </c>
      <c r="D108" s="487">
        <f t="shared" si="9"/>
        <v>12211.77269312</v>
      </c>
      <c r="E108" s="487">
        <f t="shared" si="9"/>
        <v>26058.898162976002</v>
      </c>
      <c r="F108" s="487">
        <f>D108*C108+E108</f>
        <v>453470.94242217601</v>
      </c>
      <c r="G108" s="235">
        <f>F108/$O$4</f>
        <v>452.34009219169678</v>
      </c>
    </row>
    <row r="109" spans="2:10" ht="15" thickBot="1">
      <c r="B109" s="183">
        <v>2028</v>
      </c>
      <c r="C109" s="1367">
        <v>44</v>
      </c>
      <c r="D109" s="243">
        <f t="shared" si="9"/>
        <v>12480.43169236864</v>
      </c>
      <c r="E109" s="243">
        <f t="shared" si="9"/>
        <v>26632.193922561473</v>
      </c>
      <c r="F109" s="243">
        <f>D109*C109+E109</f>
        <v>575771.18838678161</v>
      </c>
      <c r="G109" s="246">
        <f>F109/$O$4</f>
        <v>574.33535001175221</v>
      </c>
    </row>
    <row r="110" spans="2:10" ht="15" thickBot="1"/>
    <row r="111" spans="2:10" ht="15" thickBot="1">
      <c r="B111" s="1653" t="s">
        <v>1061</v>
      </c>
      <c r="C111" s="1654"/>
      <c r="D111" s="1654"/>
      <c r="E111" s="1654"/>
      <c r="F111" s="1654"/>
      <c r="G111" s="1654"/>
      <c r="H111" s="1654"/>
      <c r="I111" s="1654"/>
      <c r="J111" s="1655"/>
    </row>
    <row r="112" spans="2:10" ht="43.15">
      <c r="B112" s="1332" t="s">
        <v>50</v>
      </c>
      <c r="C112" s="1327" t="s">
        <v>1062</v>
      </c>
      <c r="D112" s="1327" t="s">
        <v>1063</v>
      </c>
      <c r="E112" s="1327" t="s">
        <v>1064</v>
      </c>
      <c r="F112" s="1327" t="s">
        <v>1065</v>
      </c>
      <c r="G112" s="1327" t="s">
        <v>1066</v>
      </c>
      <c r="H112" s="1327" t="s">
        <v>1067</v>
      </c>
      <c r="I112" s="1327" t="s">
        <v>852</v>
      </c>
      <c r="J112" s="1336" t="s">
        <v>847</v>
      </c>
    </row>
    <row r="113" spans="2:10">
      <c r="B113" s="182">
        <v>2024</v>
      </c>
      <c r="C113" s="1360">
        <v>5</v>
      </c>
      <c r="D113" s="1360">
        <f>'3.5 - Personal requerido'!G27</f>
        <v>5</v>
      </c>
      <c r="E113" s="1360">
        <f>C113*D113</f>
        <v>25</v>
      </c>
      <c r="F113" s="1360">
        <v>1.9</v>
      </c>
      <c r="G113" s="487">
        <v>108.81</v>
      </c>
      <c r="H113" s="487">
        <f>2.5*G113</f>
        <v>272.02499999999998</v>
      </c>
      <c r="I113" s="487">
        <f>G113*E113*F113+H113</f>
        <v>5440.4999999999991</v>
      </c>
      <c r="J113" s="228">
        <f>I113/$O$4</f>
        <v>5.4269326683291759</v>
      </c>
    </row>
    <row r="114" spans="2:10">
      <c r="B114" s="182">
        <v>2025</v>
      </c>
      <c r="C114" s="1360">
        <v>5</v>
      </c>
      <c r="D114" s="1360">
        <f>'3.5 - Personal requerido'!G28</f>
        <v>8</v>
      </c>
      <c r="E114" s="1360">
        <f>C114*D114</f>
        <v>40</v>
      </c>
      <c r="F114" s="1360">
        <v>2.2000000000000002</v>
      </c>
      <c r="G114" s="487">
        <f>G113*(1+$O$5)</f>
        <v>111.20382000000001</v>
      </c>
      <c r="H114" s="487">
        <f>2.5*G114</f>
        <v>278.00954999999999</v>
      </c>
      <c r="I114" s="487">
        <f>G114*E114*F114+H114</f>
        <v>10063.945710000002</v>
      </c>
      <c r="J114" s="228">
        <f>I114/$O$4</f>
        <v>10.03884858852868</v>
      </c>
    </row>
    <row r="115" spans="2:10">
      <c r="B115" s="182">
        <v>2026</v>
      </c>
      <c r="C115" s="1360">
        <v>5</v>
      </c>
      <c r="D115" s="1360">
        <f>'3.5 - Personal requerido'!G29</f>
        <v>12</v>
      </c>
      <c r="E115" s="1360">
        <f>C115*D115</f>
        <v>60</v>
      </c>
      <c r="F115" s="1360">
        <v>2.5</v>
      </c>
      <c r="G115" s="487">
        <f>G114*(1+$O$5)</f>
        <v>113.65030404000001</v>
      </c>
      <c r="H115" s="487">
        <f>2.5*G115</f>
        <v>284.12576010000004</v>
      </c>
      <c r="I115" s="487">
        <f>G115*E115*F115+H115</f>
        <v>17331.671366099999</v>
      </c>
      <c r="J115" s="228">
        <f>I115/$O$4</f>
        <v>17.288450240498751</v>
      </c>
    </row>
    <row r="116" spans="2:10">
      <c r="B116" s="182">
        <v>2027</v>
      </c>
      <c r="C116" s="1360">
        <v>5</v>
      </c>
      <c r="D116" s="1360">
        <f>'3.5 - Personal requerido'!G30</f>
        <v>13</v>
      </c>
      <c r="E116" s="1360">
        <f>C116*D116</f>
        <v>65</v>
      </c>
      <c r="F116" s="1360">
        <v>3.5</v>
      </c>
      <c r="G116" s="487">
        <f>G115*(1+$O$5)</f>
        <v>116.15061072888001</v>
      </c>
      <c r="H116" s="487">
        <f>2.5*G116</f>
        <v>290.37652682220005</v>
      </c>
      <c r="I116" s="487">
        <f>G116*E116*F116+H116</f>
        <v>26714.640467642403</v>
      </c>
      <c r="J116" s="228">
        <f>I116/$O$4</f>
        <v>26.6480204166009</v>
      </c>
    </row>
    <row r="117" spans="2:10" ht="15" thickBot="1">
      <c r="B117" s="183">
        <v>2028</v>
      </c>
      <c r="C117" s="1367">
        <v>5</v>
      </c>
      <c r="D117" s="1367">
        <f>'3.5 - Personal requerido'!G31</f>
        <v>17</v>
      </c>
      <c r="E117" s="1367">
        <f>C117*D117</f>
        <v>85</v>
      </c>
      <c r="F117" s="1367">
        <v>4.5</v>
      </c>
      <c r="G117" s="243">
        <f>G116*(1+$O$5)</f>
        <v>118.70592416491537</v>
      </c>
      <c r="H117" s="243">
        <f>2.5*G117</f>
        <v>296.76481041228845</v>
      </c>
      <c r="I117" s="243">
        <f>G117*E117*F117+H117</f>
        <v>45701.780803492416</v>
      </c>
      <c r="J117" s="245">
        <f>I117/$O$4</f>
        <v>45.587811275304155</v>
      </c>
    </row>
    <row r="118" spans="2:10" ht="15" thickBot="1"/>
    <row r="119" spans="2:10" ht="15" thickBot="1">
      <c r="B119" s="1653" t="s">
        <v>1068</v>
      </c>
      <c r="C119" s="1654"/>
      <c r="D119" s="1655"/>
    </row>
    <row r="120" spans="2:10" ht="28.9">
      <c r="B120" s="1332" t="s">
        <v>50</v>
      </c>
      <c r="C120" s="1327" t="s">
        <v>845</v>
      </c>
      <c r="D120" s="1336" t="s">
        <v>846</v>
      </c>
    </row>
    <row r="121" spans="2:10">
      <c r="B121" s="182">
        <v>2024</v>
      </c>
      <c r="C121" s="487">
        <v>55000</v>
      </c>
      <c r="D121" s="228">
        <f>C121/$O$4</f>
        <v>54.862842892768079</v>
      </c>
    </row>
    <row r="122" spans="2:10">
      <c r="B122" s="182">
        <v>2025</v>
      </c>
      <c r="C122" s="487">
        <f>C121*(1+$O$5)</f>
        <v>56210</v>
      </c>
      <c r="D122" s="228">
        <f>C122/$O$4</f>
        <v>56.069825436408976</v>
      </c>
    </row>
    <row r="123" spans="2:10">
      <c r="B123" s="182">
        <v>2026</v>
      </c>
      <c r="C123" s="487">
        <f>C122*(1+$O$5)</f>
        <v>57446.62</v>
      </c>
      <c r="D123" s="228">
        <f>C123/$O$4</f>
        <v>57.303361596009978</v>
      </c>
    </row>
    <row r="124" spans="2:10">
      <c r="B124" s="182">
        <v>2027</v>
      </c>
      <c r="C124" s="487">
        <f>C123*(1+$O$5)</f>
        <v>58710.445640000005</v>
      </c>
      <c r="D124" s="228">
        <f>C124/$O$4</f>
        <v>58.564035551122203</v>
      </c>
    </row>
    <row r="125" spans="2:10" ht="15" thickBot="1">
      <c r="B125" s="183">
        <v>2028</v>
      </c>
      <c r="C125" s="243">
        <f>C124*(1+$O$5)</f>
        <v>60002.075444080008</v>
      </c>
      <c r="D125" s="245">
        <f>C125/$O$4</f>
        <v>59.852444333246893</v>
      </c>
    </row>
    <row r="126" spans="2:10" ht="15" thickBot="1"/>
    <row r="127" spans="2:10" ht="15" thickBot="1">
      <c r="B127" s="1653" t="s">
        <v>1069</v>
      </c>
      <c r="C127" s="1654"/>
      <c r="D127" s="1654"/>
      <c r="E127" s="1654"/>
      <c r="F127" s="1655"/>
    </row>
    <row r="128" spans="2:10" ht="28.9">
      <c r="B128" s="1332" t="s">
        <v>50</v>
      </c>
      <c r="C128" s="1327" t="s">
        <v>227</v>
      </c>
      <c r="D128" s="1327" t="s">
        <v>1070</v>
      </c>
      <c r="E128" s="1327" t="s">
        <v>846</v>
      </c>
      <c r="F128" s="1336" t="s">
        <v>847</v>
      </c>
    </row>
    <row r="129" spans="2:7">
      <c r="B129" s="182">
        <v>2024</v>
      </c>
      <c r="C129" s="1360">
        <f>'3.5 - Personal requerido'!G27</f>
        <v>5</v>
      </c>
      <c r="D129" s="487">
        <v>170000</v>
      </c>
      <c r="E129" s="487">
        <f>D129/$O$4</f>
        <v>169.57605985037407</v>
      </c>
      <c r="F129" s="235">
        <f>E129*C129</f>
        <v>847.88029925187038</v>
      </c>
    </row>
    <row r="130" spans="2:7">
      <c r="B130" s="182">
        <v>2025</v>
      </c>
      <c r="C130" s="1360">
        <f>'3.5 - Personal requerido'!G28</f>
        <v>8</v>
      </c>
      <c r="D130" s="487">
        <f>D129*(1+$O$5)</f>
        <v>173740</v>
      </c>
      <c r="E130" s="487">
        <f>D130/$O$4</f>
        <v>173.30673316708229</v>
      </c>
      <c r="F130" s="235">
        <f>E130*C130</f>
        <v>1386.4538653366583</v>
      </c>
    </row>
    <row r="131" spans="2:7">
      <c r="B131" s="182">
        <v>2026</v>
      </c>
      <c r="C131" s="1360">
        <f>'3.5 - Personal requerido'!G29</f>
        <v>12</v>
      </c>
      <c r="D131" s="487">
        <f>D130*(1+$O$5)</f>
        <v>177562.28</v>
      </c>
      <c r="E131" s="487">
        <f>D131/$O$4</f>
        <v>177.1194812967581</v>
      </c>
      <c r="F131" s="235">
        <f>E131*C131</f>
        <v>2125.4337755610973</v>
      </c>
    </row>
    <row r="132" spans="2:7">
      <c r="B132" s="182">
        <v>2027</v>
      </c>
      <c r="C132" s="1360">
        <f>'3.5 - Personal requerido'!G30</f>
        <v>13</v>
      </c>
      <c r="D132" s="487">
        <f>D131*(1+$O$5)</f>
        <v>181468.65015999999</v>
      </c>
      <c r="E132" s="487">
        <f>D132/$O$4</f>
        <v>181.01610988528677</v>
      </c>
      <c r="F132" s="235">
        <f>E132*C132</f>
        <v>2353.2094285087278</v>
      </c>
    </row>
    <row r="133" spans="2:7" ht="15" thickBot="1">
      <c r="B133" s="183">
        <v>2028</v>
      </c>
      <c r="C133" s="1367">
        <f>'3.5 - Personal requerido'!G31</f>
        <v>17</v>
      </c>
      <c r="D133" s="243">
        <f>D132*(1+$O$5)</f>
        <v>185460.96046351999</v>
      </c>
      <c r="E133" s="243">
        <f>D133/$O$4</f>
        <v>184.9984643027631</v>
      </c>
      <c r="F133" s="246">
        <f>E133*C133</f>
        <v>3144.9738931469728</v>
      </c>
    </row>
    <row r="134" spans="2:7" ht="15" thickBot="1"/>
    <row r="135" spans="2:7" ht="22.9" customHeight="1" thickBot="1">
      <c r="B135" s="1653" t="s">
        <v>1039</v>
      </c>
      <c r="C135" s="1654"/>
      <c r="D135" s="1654"/>
      <c r="E135" s="1654"/>
      <c r="F135" s="1654"/>
      <c r="G135" s="1655"/>
    </row>
    <row r="136" spans="2:7" ht="43.15">
      <c r="B136" s="1332" t="s">
        <v>50</v>
      </c>
      <c r="C136" s="1327" t="s">
        <v>1071</v>
      </c>
      <c r="D136" s="1327" t="s">
        <v>1072</v>
      </c>
      <c r="E136" s="1327" t="s">
        <v>1073</v>
      </c>
      <c r="F136" s="1327" t="s">
        <v>846</v>
      </c>
      <c r="G136" s="1336" t="s">
        <v>1074</v>
      </c>
    </row>
    <row r="137" spans="2:7">
      <c r="B137" s="182">
        <v>2024</v>
      </c>
      <c r="C137" s="187">
        <f>'1.5 - Proyeccion demanda'!F112</f>
        <v>2371.6899948782984</v>
      </c>
      <c r="D137" s="487">
        <f>'1.6 - Politica de precio'!D45</f>
        <v>10.287896135948786</v>
      </c>
      <c r="E137" s="1252">
        <v>0.05</v>
      </c>
      <c r="F137" s="487">
        <f>C137*D137*E137</f>
        <v>1219.9850166988422</v>
      </c>
      <c r="G137" s="228">
        <f>F137*12</f>
        <v>14639.820200386106</v>
      </c>
    </row>
    <row r="138" spans="2:7">
      <c r="B138" s="182">
        <v>2025</v>
      </c>
      <c r="C138" s="187">
        <f>'1.5 - Proyeccion demanda'!F113</f>
        <v>9986.2302445443565</v>
      </c>
      <c r="D138" s="487">
        <f>'1.6 - Politica de precio'!D46</f>
        <v>10.934799044977247</v>
      </c>
      <c r="E138" s="1252">
        <v>1.4999999999999999E-2</v>
      </c>
      <c r="F138" s="487">
        <f>C138*D138*0.015</f>
        <v>1637.9613141144978</v>
      </c>
      <c r="G138" s="228">
        <f t="shared" ref="G138:G141" si="10">F138*12</f>
        <v>19655.535769373972</v>
      </c>
    </row>
    <row r="139" spans="2:7">
      <c r="B139" s="182">
        <v>2026</v>
      </c>
      <c r="C139" s="187">
        <f>'1.5 - Proyeccion demanda'!F114</f>
        <v>15760.954760857092</v>
      </c>
      <c r="D139" s="487">
        <f>'1.6 - Politica de precio'!D47</f>
        <v>11.622379208925418</v>
      </c>
      <c r="E139" s="1252">
        <v>0.01</v>
      </c>
      <c r="F139" s="487">
        <f>C139*D139*0.01</f>
        <v>1831.7979292539956</v>
      </c>
      <c r="G139" s="228">
        <f t="shared" si="10"/>
        <v>21981.575151047946</v>
      </c>
    </row>
    <row r="140" spans="2:7">
      <c r="B140" s="182">
        <v>2027</v>
      </c>
      <c r="C140" s="187">
        <f>'1.5 - Proyeccion demanda'!F115</f>
        <v>22056.752206530207</v>
      </c>
      <c r="D140" s="487">
        <f>'1.6 - Politica de precio'!D48</f>
        <v>12.353194413582649</v>
      </c>
      <c r="E140" s="1252">
        <v>5.0000000000000001E-3</v>
      </c>
      <c r="F140" s="487">
        <f>C140*D140*0.005</f>
        <v>1362.3567406974287</v>
      </c>
      <c r="G140" s="228">
        <f t="shared" si="10"/>
        <v>16348.280888369143</v>
      </c>
    </row>
    <row r="141" spans="2:7" ht="15" thickBot="1">
      <c r="B141" s="183">
        <v>2028</v>
      </c>
      <c r="C141" s="218">
        <f>'1.5 - Proyeccion demanda'!F116</f>
        <v>28873.622581563686</v>
      </c>
      <c r="D141" s="243">
        <f>'1.6 - Politica de precio'!D49</f>
        <v>13.129963278308727</v>
      </c>
      <c r="E141" s="1253">
        <v>5.0000000000000001E-3</v>
      </c>
      <c r="F141" s="243">
        <f>C141*D141*0.005</f>
        <v>1895.5480210383841</v>
      </c>
      <c r="G141" s="245">
        <f t="shared" si="10"/>
        <v>22746.576252460611</v>
      </c>
    </row>
    <row r="142" spans="2:7" ht="15" thickBot="1"/>
    <row r="143" spans="2:7" ht="22.9" customHeight="1" thickBot="1">
      <c r="B143" s="1653" t="s">
        <v>1040</v>
      </c>
      <c r="C143" s="1654"/>
      <c r="D143" s="1654"/>
      <c r="E143" s="1655"/>
    </row>
    <row r="144" spans="2:7" ht="28.9">
      <c r="B144" s="1332" t="s">
        <v>50</v>
      </c>
      <c r="C144" s="1327" t="s">
        <v>1075</v>
      </c>
      <c r="D144" s="1327" t="s">
        <v>1076</v>
      </c>
      <c r="E144" s="1336" t="s">
        <v>1077</v>
      </c>
    </row>
    <row r="145" spans="2:5">
      <c r="B145" s="182">
        <v>2024</v>
      </c>
      <c r="C145" s="191">
        <v>53</v>
      </c>
      <c r="D145" s="487">
        <f>'1.6 - Politica de precio'!D45*'1.5 - Proyeccion demanda'!F112*0.3*0.025</f>
        <v>182.99775250482631</v>
      </c>
      <c r="E145" s="286">
        <f>C145+D145</f>
        <v>235.99775250482631</v>
      </c>
    </row>
    <row r="146" spans="2:5">
      <c r="B146" s="182">
        <v>2025</v>
      </c>
      <c r="C146" s="191">
        <f>C145*(1+$O$5)</f>
        <v>54.166000000000004</v>
      </c>
      <c r="D146" s="487">
        <f>'1.6 - Politica de precio'!D46*'1.5 - Proyeccion demanda'!F113*0.3*0.025</f>
        <v>818.98065705724889</v>
      </c>
      <c r="E146" s="286">
        <f t="shared" ref="E146:E149" si="11">C146+D146</f>
        <v>873.14665705724894</v>
      </c>
    </row>
    <row r="147" spans="2:5">
      <c r="B147" s="182">
        <v>2026</v>
      </c>
      <c r="C147" s="191">
        <f t="shared" ref="C147:C149" si="12">C146*(1+$O$5)</f>
        <v>55.357652000000002</v>
      </c>
      <c r="D147" s="487">
        <f>'1.6 - Politica de precio'!D47*'1.5 - Proyeccion demanda'!F114*0.2*0.025</f>
        <v>915.89896462699789</v>
      </c>
      <c r="E147" s="286">
        <f t="shared" si="11"/>
        <v>971.25661662699792</v>
      </c>
    </row>
    <row r="148" spans="2:5">
      <c r="B148" s="182">
        <v>2027</v>
      </c>
      <c r="C148" s="191">
        <f t="shared" si="12"/>
        <v>56.575520344000005</v>
      </c>
      <c r="D148" s="487">
        <f>'1.6 - Politica de precio'!D48*'1.5 - Proyeccion demanda'!F115*0.2*0.025</f>
        <v>1362.3567406974289</v>
      </c>
      <c r="E148" s="286">
        <f t="shared" si="11"/>
        <v>1418.932261041429</v>
      </c>
    </row>
    <row r="149" spans="2:5" ht="15" thickBot="1">
      <c r="B149" s="183">
        <v>2028</v>
      </c>
      <c r="C149" s="1261">
        <f t="shared" si="12"/>
        <v>57.820181791568004</v>
      </c>
      <c r="D149" s="243">
        <f>'1.6 - Politica de precio'!D49*'1.5 - Proyeccion demanda'!F116*0.2*0.025</f>
        <v>1895.5480210383841</v>
      </c>
      <c r="E149" s="990">
        <f t="shared" si="11"/>
        <v>1953.3682028299522</v>
      </c>
    </row>
    <row r="150" spans="2:5" ht="15" thickBot="1"/>
    <row r="151" spans="2:5" ht="15" thickBot="1">
      <c r="B151" s="1653" t="s">
        <v>1078</v>
      </c>
      <c r="C151" s="1654"/>
      <c r="D151" s="1654"/>
      <c r="E151" s="1655"/>
    </row>
    <row r="152" spans="2:5">
      <c r="B152" s="1332" t="s">
        <v>50</v>
      </c>
      <c r="C152" s="1327" t="s">
        <v>1079</v>
      </c>
      <c r="D152" s="1327" t="s">
        <v>1080</v>
      </c>
      <c r="E152" s="1336" t="s">
        <v>1077</v>
      </c>
    </row>
    <row r="153" spans="2:5">
      <c r="B153" s="182">
        <v>2024</v>
      </c>
      <c r="C153" s="191"/>
      <c r="D153" s="487">
        <f>'1.6 - Politica de precio'!D53*'1.5 - Proyeccion demanda'!F120*0.3*0.025</f>
        <v>0</v>
      </c>
      <c r="E153" s="286">
        <f>C153+D153</f>
        <v>0</v>
      </c>
    </row>
    <row r="154" spans="2:5">
      <c r="B154" s="182">
        <v>2025</v>
      </c>
      <c r="C154" s="191"/>
      <c r="D154" s="487">
        <f>'1.6 - Politica de precio'!D54*'1.5 - Proyeccion demanda'!F121*0.3*0.025</f>
        <v>0</v>
      </c>
      <c r="E154" s="286">
        <f t="shared" ref="E154:E157" si="13">C154+D154</f>
        <v>0</v>
      </c>
    </row>
    <row r="155" spans="2:5">
      <c r="B155" s="182">
        <v>2026</v>
      </c>
      <c r="C155" s="191"/>
      <c r="D155" s="487">
        <f>'1.6 - Politica de precio'!D55*'1.5 - Proyeccion demanda'!F122*0.2*0.025</f>
        <v>0</v>
      </c>
      <c r="E155" s="286">
        <f t="shared" si="13"/>
        <v>0</v>
      </c>
    </row>
    <row r="156" spans="2:5">
      <c r="B156" s="182">
        <v>2027</v>
      </c>
      <c r="C156" s="191"/>
      <c r="D156" s="487">
        <f>'1.6 - Politica de precio'!D56*'1.5 - Proyeccion demanda'!F123*0.2*0.025</f>
        <v>0</v>
      </c>
      <c r="E156" s="286">
        <f t="shared" si="13"/>
        <v>0</v>
      </c>
    </row>
    <row r="157" spans="2:5" ht="15" thickBot="1">
      <c r="B157" s="183">
        <v>2028</v>
      </c>
      <c r="C157" s="1261"/>
      <c r="D157" s="243">
        <f>'1.6 - Politica de precio'!D57*'1.5 - Proyeccion demanda'!F124*0.2*0.025</f>
        <v>0</v>
      </c>
      <c r="E157" s="990">
        <f t="shared" si="13"/>
        <v>0</v>
      </c>
    </row>
  </sheetData>
  <mergeCells count="23">
    <mergeCell ref="B77:F77"/>
    <mergeCell ref="B95:D95"/>
    <mergeCell ref="B127:F127"/>
    <mergeCell ref="B111:J111"/>
    <mergeCell ref="B85:F85"/>
    <mergeCell ref="B90:F90"/>
    <mergeCell ref="B119:D119"/>
    <mergeCell ref="B143:E143"/>
    <mergeCell ref="B151:E151"/>
    <mergeCell ref="B28:C28"/>
    <mergeCell ref="B4:L4"/>
    <mergeCell ref="C5:D5"/>
    <mergeCell ref="E5:F5"/>
    <mergeCell ref="G5:H5"/>
    <mergeCell ref="I5:J5"/>
    <mergeCell ref="K5:L5"/>
    <mergeCell ref="B37:F37"/>
    <mergeCell ref="B45:F45"/>
    <mergeCell ref="B53:F53"/>
    <mergeCell ref="B61:F61"/>
    <mergeCell ref="B69:F69"/>
    <mergeCell ref="B135:G135"/>
    <mergeCell ref="B103:G103"/>
  </mergeCells>
  <hyperlinks>
    <hyperlink ref="C2" location="Indice!A1" display="INDICE" xr:uid="{00000000-0004-0000-1800-000000000000}"/>
  </hyperlinks>
  <pageMargins left="0.7" right="0.7" top="0.75" bottom="0.75" header="0.3" footer="0.3"/>
  <pageSetup paperSize="9" orientation="portrait" r:id="rId1"/>
  <ignoredErrors>
    <ignoredError sqref="D25" formula="1"/>
  </ignoredError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B2:G36"/>
  <sheetViews>
    <sheetView zoomScale="85" zoomScaleNormal="85" workbookViewId="0">
      <selection activeCell="C2" sqref="C2"/>
    </sheetView>
  </sheetViews>
  <sheetFormatPr defaultColWidth="11.42578125" defaultRowHeight="14.45"/>
  <cols>
    <col min="1" max="1" width="3.42578125" style="1169" customWidth="1"/>
    <col min="2" max="2" width="32" style="1169" bestFit="1" customWidth="1"/>
    <col min="3" max="3" width="14.42578125" style="1169" customWidth="1"/>
    <col min="4" max="4" width="13.7109375" style="1169" customWidth="1"/>
    <col min="5" max="5" width="16.85546875" style="1169" customWidth="1"/>
    <col min="6" max="6" width="14.85546875" style="1169" customWidth="1"/>
    <col min="7" max="7" width="16.140625" style="1169" customWidth="1"/>
    <col min="8" max="16384" width="11.42578125" style="1169"/>
  </cols>
  <sheetData>
    <row r="2" spans="2:7">
      <c r="B2" s="1305" t="s">
        <v>126</v>
      </c>
      <c r="C2" s="337" t="s">
        <v>49</v>
      </c>
    </row>
    <row r="3" spans="2:7" ht="15" thickBot="1"/>
    <row r="4" spans="2:7" ht="17.45">
      <c r="B4" s="1707" t="s">
        <v>1081</v>
      </c>
      <c r="C4" s="1708"/>
      <c r="D4" s="1708"/>
      <c r="E4" s="1708"/>
      <c r="F4" s="1708"/>
      <c r="G4" s="1709"/>
    </row>
    <row r="5" spans="2:7" ht="15" thickBot="1">
      <c r="B5" s="271" t="s">
        <v>50</v>
      </c>
      <c r="C5" s="270">
        <v>2024</v>
      </c>
      <c r="D5" s="270">
        <v>2025</v>
      </c>
      <c r="E5" s="270">
        <v>2026</v>
      </c>
      <c r="F5" s="270">
        <v>2027</v>
      </c>
      <c r="G5" s="133">
        <v>2028</v>
      </c>
    </row>
    <row r="6" spans="2:7" ht="29.1" customHeight="1">
      <c r="B6" s="1240" t="s">
        <v>1082</v>
      </c>
      <c r="C6" s="1241">
        <f>C36</f>
        <v>692683.78737956705</v>
      </c>
      <c r="D6" s="1241">
        <f t="shared" ref="D6:G6" si="0">D36</f>
        <v>444772.79709806025</v>
      </c>
      <c r="E6" s="1241">
        <f t="shared" si="0"/>
        <v>570951.34717953566</v>
      </c>
      <c r="F6" s="1241">
        <f t="shared" si="0"/>
        <v>608694.58600200457</v>
      </c>
      <c r="G6" s="1241">
        <f t="shared" si="0"/>
        <v>666569.04220536281</v>
      </c>
    </row>
    <row r="7" spans="2:7" ht="29.1" customHeight="1">
      <c r="B7" s="1204" t="s">
        <v>1083</v>
      </c>
      <c r="C7" s="1238">
        <f>+'1.6 - Politica de precio'!D45</f>
        <v>10.287896135948786</v>
      </c>
      <c r="D7" s="1238">
        <f>+'1.6 - Politica de precio'!D46</f>
        <v>10.934799044977247</v>
      </c>
      <c r="E7" s="1238">
        <f>+'1.6 - Politica de precio'!D47</f>
        <v>11.622379208925418</v>
      </c>
      <c r="F7" s="1238">
        <f>+'1.6 - Politica de precio'!D48</f>
        <v>12.353194413582649</v>
      </c>
      <c r="G7" s="1242">
        <f>+'1.6 - Politica de precio'!D49</f>
        <v>13.129963278308727</v>
      </c>
    </row>
    <row r="8" spans="2:7" ht="29.1" customHeight="1">
      <c r="B8" s="1204" t="s">
        <v>1084</v>
      </c>
      <c r="C8" s="1238">
        <f>'3.9 - Costeo por absorcion'!G5</f>
        <v>7.0471317005513532</v>
      </c>
      <c r="D8" s="1238">
        <f>'3.9 - Costeo por absorcion'!G6</f>
        <v>6.309396124375934</v>
      </c>
      <c r="E8" s="1238">
        <f>'3.9 - Costeo por absorcion'!G7</f>
        <v>6.2207004463739022</v>
      </c>
      <c r="F8" s="1238">
        <f>'3.9 - Costeo por absorcion'!G8</f>
        <v>6.2092562072498474</v>
      </c>
      <c r="G8" s="1242">
        <f>'3.9 - Costeo por absorcion'!G9</f>
        <v>6.3844665844306556</v>
      </c>
    </row>
    <row r="9" spans="2:7" ht="29.1" customHeight="1">
      <c r="B9" s="1289" t="s">
        <v>1085</v>
      </c>
      <c r="C9" s="1290">
        <f>C6/(C7-C8)</f>
        <v>213740.86305492898</v>
      </c>
      <c r="D9" s="1290">
        <f>D6/(D7-D8)</f>
        <v>96158.714112680755</v>
      </c>
      <c r="E9" s="1290">
        <f>E6/(E7-E8)</f>
        <v>105698.87108759562</v>
      </c>
      <c r="F9" s="1290">
        <f>F6/(F7-F8)</f>
        <v>99072.380867144602</v>
      </c>
      <c r="G9" s="1290">
        <f>G6/(G7-G8)</f>
        <v>98816.895546077838</v>
      </c>
    </row>
    <row r="10" spans="2:7" ht="29.1" customHeight="1" thickBot="1">
      <c r="B10" s="1243" t="s">
        <v>1086</v>
      </c>
      <c r="C10" s="679">
        <f>+'4.1 - Cash Flow '!P8</f>
        <v>28460.279938539581</v>
      </c>
      <c r="D10" s="679">
        <f>+'4.1 - Cash Flow '!AC8</f>
        <v>119834.76293453228</v>
      </c>
      <c r="E10" s="679">
        <f>+'4.1 - Cash Flow '!AP8</f>
        <v>189131.4571302851</v>
      </c>
      <c r="F10" s="679">
        <f>+'4.1 - Cash Flow '!BC8</f>
        <v>264681.0264783625</v>
      </c>
      <c r="G10" s="1328">
        <f>+'4.1 - Cash Flow '!BP8</f>
        <v>346483.47097876424</v>
      </c>
    </row>
    <row r="11" spans="2:7" ht="14.45" customHeight="1" thickBot="1">
      <c r="B11" s="1710"/>
      <c r="C11" s="1711"/>
      <c r="D11" s="1711"/>
      <c r="E11" s="1711"/>
      <c r="F11" s="1711"/>
      <c r="G11" s="1712"/>
    </row>
    <row r="12" spans="2:7" ht="15" customHeight="1">
      <c r="B12" s="1282" t="s">
        <v>1087</v>
      </c>
      <c r="C12" s="1283">
        <f>+C10-C9</f>
        <v>-185280.5831163894</v>
      </c>
      <c r="D12" s="1284">
        <f t="shared" ref="D12:G12" si="1">+D10-D9</f>
        <v>23676.048821851524</v>
      </c>
      <c r="E12" s="1284">
        <f t="shared" si="1"/>
        <v>83432.58604268948</v>
      </c>
      <c r="F12" s="1284">
        <f t="shared" si="1"/>
        <v>165608.64561121789</v>
      </c>
      <c r="G12" s="1285">
        <f t="shared" si="1"/>
        <v>247666.5754326864</v>
      </c>
    </row>
    <row r="13" spans="2:7" ht="15" customHeight="1" thickBot="1">
      <c r="B13" s="1286" t="s">
        <v>1088</v>
      </c>
      <c r="C13" s="1287">
        <f>C12/C9</f>
        <v>-0.86684679975664924</v>
      </c>
      <c r="D13" s="1287">
        <f>D12/D9</f>
        <v>0.24621844250233468</v>
      </c>
      <c r="E13" s="1287">
        <f>E12/E9</f>
        <v>0.78934226244996086</v>
      </c>
      <c r="F13" s="1287">
        <f>F12/F9</f>
        <v>1.6715924676656149</v>
      </c>
      <c r="G13" s="1288">
        <f>G12/G9</f>
        <v>2.5063181155817698</v>
      </c>
    </row>
    <row r="14" spans="2:7" ht="15" thickBot="1"/>
    <row r="15" spans="2:7" ht="17.45">
      <c r="B15" s="1707" t="s">
        <v>1089</v>
      </c>
      <c r="C15" s="1708"/>
      <c r="D15" s="1708"/>
      <c r="E15" s="1708"/>
      <c r="F15" s="1708"/>
      <c r="G15" s="1709"/>
    </row>
    <row r="16" spans="2:7" ht="15" thickBot="1">
      <c r="B16" s="271" t="s">
        <v>50</v>
      </c>
      <c r="C16" s="270">
        <v>2024</v>
      </c>
      <c r="D16" s="270">
        <v>2025</v>
      </c>
      <c r="E16" s="270">
        <v>2026</v>
      </c>
      <c r="F16" s="270">
        <v>2027</v>
      </c>
      <c r="G16" s="133">
        <v>2028</v>
      </c>
    </row>
    <row r="17" spans="2:7" ht="29.1" customHeight="1">
      <c r="B17" s="1240" t="s">
        <v>1082</v>
      </c>
      <c r="C17" s="1244">
        <f>+C6</f>
        <v>692683.78737956705</v>
      </c>
      <c r="D17" s="1244">
        <f>+D6</f>
        <v>444772.79709806025</v>
      </c>
      <c r="E17" s="1244">
        <f>+E6</f>
        <v>570951.34717953566</v>
      </c>
      <c r="F17" s="1244">
        <f>+F6</f>
        <v>608694.58600200457</v>
      </c>
      <c r="G17" s="1245">
        <f>+G6</f>
        <v>666569.04220536281</v>
      </c>
    </row>
    <row r="18" spans="2:7" ht="29.1" customHeight="1">
      <c r="B18" s="1204" t="s">
        <v>1090</v>
      </c>
      <c r="C18" s="1239">
        <f>+'4.4 - Amortizaciones'!H78</f>
        <v>20878.162111388196</v>
      </c>
      <c r="D18" s="1239">
        <f>+'4.4 - Amortizaciones'!I78</f>
        <v>20878.162111388196</v>
      </c>
      <c r="E18" s="1239">
        <f>+'4.4 - Amortizaciones'!J78</f>
        <v>33260.836398058593</v>
      </c>
      <c r="F18" s="1239">
        <f>+'4.4 - Amortizaciones'!K78</f>
        <v>33260.836398058593</v>
      </c>
      <c r="G18" s="1246">
        <f>+'4.4 - Amortizaciones'!L78</f>
        <v>33732.996008009664</v>
      </c>
    </row>
    <row r="19" spans="2:7" ht="29.1" customHeight="1">
      <c r="B19" s="1204" t="s">
        <v>1083</v>
      </c>
      <c r="C19" s="1238">
        <f t="shared" ref="C19:G20" si="2">+C7</f>
        <v>10.287896135948786</v>
      </c>
      <c r="D19" s="1238">
        <f t="shared" si="2"/>
        <v>10.934799044977247</v>
      </c>
      <c r="E19" s="1238">
        <f t="shared" si="2"/>
        <v>11.622379208925418</v>
      </c>
      <c r="F19" s="1238">
        <f t="shared" si="2"/>
        <v>12.353194413582649</v>
      </c>
      <c r="G19" s="1242">
        <f t="shared" si="2"/>
        <v>13.129963278308727</v>
      </c>
    </row>
    <row r="20" spans="2:7" ht="29.1" customHeight="1">
      <c r="B20" s="1204" t="s">
        <v>1084</v>
      </c>
      <c r="C20" s="1269">
        <f t="shared" si="2"/>
        <v>7.0471317005513532</v>
      </c>
      <c r="D20" s="1269">
        <f t="shared" si="2"/>
        <v>6.309396124375934</v>
      </c>
      <c r="E20" s="1269">
        <f t="shared" si="2"/>
        <v>6.2207004463739022</v>
      </c>
      <c r="F20" s="1269">
        <f t="shared" si="2"/>
        <v>6.2092562072498474</v>
      </c>
      <c r="G20" s="1270">
        <f t="shared" si="2"/>
        <v>6.3844665844306556</v>
      </c>
    </row>
    <row r="21" spans="2:7" ht="29.1" customHeight="1">
      <c r="B21" s="1291" t="s">
        <v>1085</v>
      </c>
      <c r="C21" s="1292">
        <f>(C17-C18)/(C19-C20)</f>
        <v>207298.50584952853</v>
      </c>
      <c r="D21" s="1292">
        <f>(D17-D18)/(D19-D20)</f>
        <v>91644.910132837642</v>
      </c>
      <c r="E21" s="1292">
        <f>(E17-E18)/(E19-E20)</f>
        <v>99541.37119540514</v>
      </c>
      <c r="F21" s="1292">
        <f>(F17-F18)/(F19-F20)</f>
        <v>93658.778828671086</v>
      </c>
      <c r="G21" s="1292">
        <f>(G17-G18)/(G19-G20)</f>
        <v>93816.078328477801</v>
      </c>
    </row>
    <row r="22" spans="2:7" ht="29.45" customHeight="1" thickBot="1">
      <c r="B22" s="1243" t="s">
        <v>1086</v>
      </c>
      <c r="C22" s="1247">
        <f>+C10</f>
        <v>28460.279938539581</v>
      </c>
      <c r="D22" s="1247">
        <f>+D10</f>
        <v>119834.76293453228</v>
      </c>
      <c r="E22" s="1247">
        <f>+E10</f>
        <v>189131.4571302851</v>
      </c>
      <c r="F22" s="1247">
        <f>+F10</f>
        <v>264681.0264783625</v>
      </c>
      <c r="G22" s="1248">
        <f>+G10</f>
        <v>346483.47097876424</v>
      </c>
    </row>
    <row r="23" spans="2:7" ht="15.6" customHeight="1" thickBot="1">
      <c r="B23" s="1485"/>
      <c r="C23" s="1486"/>
      <c r="D23" s="1486"/>
      <c r="E23" s="1486"/>
      <c r="F23" s="1486"/>
      <c r="G23" s="1487"/>
    </row>
    <row r="24" spans="2:7" ht="15" customHeight="1">
      <c r="B24" s="1282" t="s">
        <v>1087</v>
      </c>
      <c r="C24" s="1283">
        <f>+C22-C21</f>
        <v>-178838.22591098896</v>
      </c>
      <c r="D24" s="1284">
        <f t="shared" ref="D24" si="3">+D22-D21</f>
        <v>28189.852801694637</v>
      </c>
      <c r="E24" s="1284">
        <f t="shared" ref="E24" si="4">+E22-E21</f>
        <v>89590.085934879957</v>
      </c>
      <c r="F24" s="1284">
        <f t="shared" ref="F24" si="5">+F22-F21</f>
        <v>171022.24764969142</v>
      </c>
      <c r="G24" s="1285">
        <f t="shared" ref="G24" si="6">+G22-G21</f>
        <v>252667.39265028643</v>
      </c>
    </row>
    <row r="25" spans="2:7" ht="15" thickBot="1">
      <c r="B25" s="1286" t="s">
        <v>1088</v>
      </c>
      <c r="C25" s="1287">
        <f>C24/C21</f>
        <v>-0.8627087068384468</v>
      </c>
      <c r="D25" s="1287">
        <f t="shared" ref="D25:G25" si="7">D24/D21</f>
        <v>0.30759867362883497</v>
      </c>
      <c r="E25" s="1287">
        <f t="shared" si="7"/>
        <v>0.9000286499872473</v>
      </c>
      <c r="F25" s="1287">
        <f t="shared" si="7"/>
        <v>1.8260140671120688</v>
      </c>
      <c r="G25" s="1288">
        <f t="shared" si="7"/>
        <v>2.6932205774539333</v>
      </c>
    </row>
    <row r="27" spans="2:7" ht="15" thickBot="1"/>
    <row r="28" spans="2:7" ht="19.149999999999999" customHeight="1" thickBot="1">
      <c r="B28" s="1622" t="s">
        <v>1091</v>
      </c>
      <c r="C28" s="1483"/>
      <c r="D28" s="1483"/>
      <c r="E28" s="1483"/>
      <c r="F28" s="1483"/>
      <c r="G28" s="1623"/>
    </row>
    <row r="29" spans="2:7" ht="15" thickBot="1">
      <c r="B29" s="1300" t="s">
        <v>345</v>
      </c>
      <c r="C29" s="1316">
        <v>2024</v>
      </c>
      <c r="D29" s="1316">
        <v>2025</v>
      </c>
      <c r="E29" s="1316">
        <v>2026</v>
      </c>
      <c r="F29" s="1316">
        <v>2027</v>
      </c>
      <c r="G29" s="1317">
        <v>2028</v>
      </c>
    </row>
    <row r="30" spans="2:7">
      <c r="B30" s="1279" t="s">
        <v>1092</v>
      </c>
      <c r="C30" s="1280">
        <f>'3.7 - Costos MOD'!E70</f>
        <v>18658.631477708979</v>
      </c>
      <c r="D30" s="1280">
        <f>'3.7 - Costos MOD'!E71</f>
        <v>38138.242740437156</v>
      </c>
      <c r="E30" s="1280">
        <f>'3.7 - Costos MOD'!E72</f>
        <v>77954.568161453542</v>
      </c>
      <c r="F30" s="1280">
        <f>'3.7 - Costos MOD'!E73</f>
        <v>79669.568661005527</v>
      </c>
      <c r="G30" s="1281">
        <f>'3.7 - Costos MOD'!E74</f>
        <v>122133.44875732149</v>
      </c>
    </row>
    <row r="31" spans="2:7">
      <c r="B31" s="124" t="s">
        <v>839</v>
      </c>
      <c r="C31" s="1271">
        <f>'3.8 - Costos CCP '!D10</f>
        <v>18658.631477708979</v>
      </c>
      <c r="D31" s="1271">
        <f>'3.8 - Costos CCP '!F10</f>
        <v>38138.242740437156</v>
      </c>
      <c r="E31" s="1271">
        <f>'3.8 - Costos CCP '!H10</f>
        <v>38977.284080726778</v>
      </c>
      <c r="F31" s="1271">
        <f>'3.8 - Costos CCP '!J10</f>
        <v>39834.784330502771</v>
      </c>
      <c r="G31" s="1276">
        <f>'3.8 - Costos CCP '!L10</f>
        <v>61066.724378660751</v>
      </c>
    </row>
    <row r="32" spans="2:7">
      <c r="B32" s="124" t="s">
        <v>840</v>
      </c>
      <c r="C32" s="1271">
        <f>'3.8 - Costos CCP '!D11</f>
        <v>19493.307825458909</v>
      </c>
      <c r="D32" s="1271">
        <f>'3.8 - Costos CCP '!F11</f>
        <v>39844.321195238008</v>
      </c>
      <c r="E32" s="1271">
        <f>'3.8 - Costos CCP '!H11</f>
        <v>40720.896261533242</v>
      </c>
      <c r="F32" s="1271">
        <f>'3.8 - Costos CCP '!J11</f>
        <v>41616.755979286972</v>
      </c>
      <c r="G32" s="1276">
        <f>'3.8 - Costos CCP '!L11</f>
        <v>63798.486916246933</v>
      </c>
    </row>
    <row r="33" spans="2:7">
      <c r="B33" s="197" t="s">
        <v>1093</v>
      </c>
      <c r="C33" s="1298">
        <f>'3.11 - Presupuesto gastos'!D26</f>
        <v>221740.77448730191</v>
      </c>
      <c r="D33" s="1298">
        <f>'3.11 - Presupuesto gastos'!F26</f>
        <v>247206.94831055973</v>
      </c>
      <c r="E33" s="1298">
        <f>'3.11 - Presupuesto gastos'!H26</f>
        <v>319470.88227776357</v>
      </c>
      <c r="F33" s="1298">
        <f>'3.11 - Presupuesto gastos'!J26</f>
        <v>353745.76063315076</v>
      </c>
      <c r="G33" s="1299">
        <f>'3.11 - Presupuesto gastos'!L26</f>
        <v>385837.38614512392</v>
      </c>
    </row>
    <row r="34" spans="2:7">
      <c r="B34" s="197" t="s">
        <v>1094</v>
      </c>
      <c r="C34" s="1298">
        <f>'4.4 - Amortizaciones'!H78</f>
        <v>20878.162111388196</v>
      </c>
      <c r="D34" s="1298">
        <f>'4.4 - Amortizaciones'!I78</f>
        <v>20878.162111388196</v>
      </c>
      <c r="E34" s="1298">
        <f>'4.4 - Amortizaciones'!J78</f>
        <v>33260.836398058593</v>
      </c>
      <c r="F34" s="1298">
        <f>'4.4 - Amortizaciones'!K78</f>
        <v>33260.836398058593</v>
      </c>
      <c r="G34" s="1299">
        <f>'4.4 - Amortizaciones'!L78</f>
        <v>33732.996008009664</v>
      </c>
    </row>
    <row r="35" spans="2:7" ht="15" thickBot="1">
      <c r="B35" s="1277" t="s">
        <v>1095</v>
      </c>
      <c r="C35" s="1272">
        <f>'4.3 - Financiación'!L40</f>
        <v>393254.28</v>
      </c>
      <c r="D35" s="1272">
        <f>'4.3 - Financiación'!L41</f>
        <v>60566.879999999983</v>
      </c>
      <c r="E35" s="1272">
        <f>'4.3 - Financiación'!L42</f>
        <v>60566.879999999983</v>
      </c>
      <c r="F35" s="1272">
        <f>'4.3 - Financiación'!L43</f>
        <v>60566.879999999983</v>
      </c>
      <c r="G35" s="1278">
        <f>'4.3 - Financiación'!L44</f>
        <v>0</v>
      </c>
    </row>
    <row r="36" spans="2:7" ht="15" thickBot="1">
      <c r="B36" s="1273" t="s">
        <v>147</v>
      </c>
      <c r="C36" s="1274">
        <f>SUM(C30:C35)</f>
        <v>692683.78737956705</v>
      </c>
      <c r="D36" s="1274">
        <f t="shared" ref="D36:G36" si="8">SUM(D30:D35)</f>
        <v>444772.79709806025</v>
      </c>
      <c r="E36" s="1274">
        <f t="shared" si="8"/>
        <v>570951.34717953566</v>
      </c>
      <c r="F36" s="1274">
        <f t="shared" si="8"/>
        <v>608694.58600200457</v>
      </c>
      <c r="G36" s="1275">
        <f t="shared" si="8"/>
        <v>666569.04220536281</v>
      </c>
    </row>
  </sheetData>
  <mergeCells count="5">
    <mergeCell ref="B4:G4"/>
    <mergeCell ref="B15:G15"/>
    <mergeCell ref="B11:G11"/>
    <mergeCell ref="B23:G23"/>
    <mergeCell ref="B28:G28"/>
  </mergeCells>
  <conditionalFormatting sqref="C12:G13">
    <cfRule type="cellIs" dxfId="9" priority="5" operator="lessThan">
      <formula>0</formula>
    </cfRule>
    <cfRule type="cellIs" dxfId="8" priority="6" operator="greaterThan">
      <formula>0</formula>
    </cfRule>
  </conditionalFormatting>
  <conditionalFormatting sqref="C24:G25">
    <cfRule type="cellIs" dxfId="7" priority="1" operator="lessThan">
      <formula>0</formula>
    </cfRule>
    <cfRule type="cellIs" dxfId="6" priority="2" operator="greaterThan">
      <formula>0</formula>
    </cfRule>
  </conditionalFormatting>
  <hyperlinks>
    <hyperlink ref="C2" location="Indice!A1" display="INDICE" xr:uid="{086A8244-5582-4D85-9BFA-459E87D80302}"/>
  </hyperlink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4445B-E187-42B7-AF59-C44474205306}">
  <sheetPr>
    <tabColor rgb="FF92D050"/>
  </sheetPr>
  <dimension ref="B2:U94"/>
  <sheetViews>
    <sheetView showGridLines="0" zoomScale="85" zoomScaleNormal="85" workbookViewId="0">
      <selection activeCell="C2" sqref="C2"/>
    </sheetView>
  </sheetViews>
  <sheetFormatPr defaultColWidth="11.42578125" defaultRowHeight="14.45"/>
  <cols>
    <col min="1" max="1" width="11.42578125" customWidth="1"/>
    <col min="2" max="2" width="13.7109375" customWidth="1"/>
    <col min="3" max="3" width="37.42578125" customWidth="1"/>
    <col min="4" max="4" width="13.140625" customWidth="1"/>
    <col min="6" max="7" width="11.42578125" customWidth="1"/>
    <col min="8" max="8" width="14.42578125" customWidth="1"/>
    <col min="9" max="9" width="14.7109375" customWidth="1"/>
    <col min="10" max="10" width="14" customWidth="1"/>
    <col min="11" max="11" width="12" bestFit="1" customWidth="1"/>
    <col min="15" max="16" width="12.42578125" bestFit="1" customWidth="1"/>
    <col min="17" max="17" width="14.42578125" bestFit="1" customWidth="1"/>
    <col min="18" max="18" width="15.42578125" bestFit="1" customWidth="1"/>
  </cols>
  <sheetData>
    <row r="2" spans="2:21">
      <c r="B2" s="1305" t="s">
        <v>126</v>
      </c>
      <c r="C2" s="337" t="s">
        <v>49</v>
      </c>
    </row>
    <row r="3" spans="2:21" ht="15" thickBot="1"/>
    <row r="4" spans="2:21" ht="87" thickBot="1">
      <c r="B4" s="484" t="s">
        <v>1096</v>
      </c>
      <c r="C4" s="773" t="s">
        <v>1097</v>
      </c>
      <c r="D4" s="773" t="s">
        <v>1098</v>
      </c>
      <c r="E4" s="773" t="s">
        <v>1099</v>
      </c>
      <c r="F4" s="773" t="s">
        <v>1100</v>
      </c>
      <c r="G4" s="773" t="s">
        <v>1101</v>
      </c>
      <c r="H4" s="773" t="s">
        <v>1102</v>
      </c>
      <c r="I4" s="773" t="s">
        <v>1103</v>
      </c>
      <c r="J4" s="773" t="s">
        <v>1104</v>
      </c>
      <c r="K4" s="773" t="s">
        <v>1105</v>
      </c>
      <c r="L4" s="773" t="s">
        <v>1106</v>
      </c>
      <c r="M4" s="773" t="s">
        <v>1107</v>
      </c>
      <c r="N4" s="773" t="s">
        <v>1108</v>
      </c>
      <c r="O4" s="773" t="s">
        <v>1109</v>
      </c>
      <c r="P4" s="773" t="s">
        <v>1110</v>
      </c>
      <c r="Q4" s="773" t="s">
        <v>1111</v>
      </c>
      <c r="R4" s="773" t="s">
        <v>1112</v>
      </c>
      <c r="S4" s="773" t="s">
        <v>1113</v>
      </c>
      <c r="T4" s="773" t="s">
        <v>1114</v>
      </c>
      <c r="U4" s="1212" t="s">
        <v>1115</v>
      </c>
    </row>
    <row r="5" spans="2:21">
      <c r="B5" s="1713">
        <f>+'3.4 - Plan de fabricacion'!O14</f>
        <v>44416</v>
      </c>
      <c r="C5" s="1217" t="s">
        <v>1116</v>
      </c>
      <c r="D5" s="131">
        <f>+'3.6 - Costos MP'!E13</f>
        <v>1.9125000000000001</v>
      </c>
      <c r="E5" s="569">
        <v>3.7200748129675811</v>
      </c>
      <c r="F5" s="131">
        <v>24</v>
      </c>
      <c r="G5" s="131">
        <f>+F5+1</f>
        <v>25</v>
      </c>
      <c r="H5" s="570">
        <f>+$B$5*D5</f>
        <v>84945.600000000006</v>
      </c>
      <c r="I5" s="570">
        <f>+H5/250</f>
        <v>339.7824</v>
      </c>
      <c r="J5" s="821">
        <f>+('3.11 - Presupuesto gastos'!D7+'3.11 - Presupuesto gastos'!D8+'3.11 - Presupuesto gastos'!D9+'3.11 - Presupuesto gastos'!D18+'3.11 - Presupuesto gastos'!D20+'3.8 - Costos CCP '!D10)/10000*0.75</f>
        <v>6.3754336100800444</v>
      </c>
      <c r="K5" s="821">
        <f>(584*12*'3.4 - Plan de fabricacion'!$BR$8/'3.6 - Costos MP'!$L$4)/75000</f>
        <v>5.1357047381546131E-2</v>
      </c>
      <c r="L5" s="569">
        <f>+SQRT(2*H5*J5/K5)</f>
        <v>4592.4060680215089</v>
      </c>
      <c r="M5" s="1210">
        <v>0.95</v>
      </c>
      <c r="N5" s="131">
        <v>1.645</v>
      </c>
      <c r="O5" s="1218">
        <f>4787*D5</f>
        <v>9155.1375000000007</v>
      </c>
      <c r="P5" s="1218">
        <f>4442*D5</f>
        <v>8495.3250000000007</v>
      </c>
      <c r="Q5" s="1218">
        <f>+O5-P5</f>
        <v>659.8125</v>
      </c>
      <c r="R5" s="1218">
        <f t="shared" ref="R5:R12" si="0">+I5*G5+Q5</f>
        <v>9154.3724999999995</v>
      </c>
      <c r="S5" s="131">
        <f>ROUNDUP(R5/1000+L5/1000,0)</f>
        <v>14</v>
      </c>
      <c r="T5" s="1714">
        <f>+SUM(S5:S12)/75</f>
        <v>0.57333333333333336</v>
      </c>
      <c r="U5" s="1219">
        <f>+S5/2+Q5/1000</f>
        <v>7.6598125000000001</v>
      </c>
    </row>
    <row r="6" spans="2:21">
      <c r="B6" s="1526"/>
      <c r="C6" s="55" t="s">
        <v>1117</v>
      </c>
      <c r="D6" s="1360">
        <f>+'3.6 - Costos MP'!E14</f>
        <v>0.58650000000000002</v>
      </c>
      <c r="E6" s="14">
        <v>1.204488778054863</v>
      </c>
      <c r="F6" s="1360">
        <v>27</v>
      </c>
      <c r="G6" s="1360">
        <f t="shared" ref="G6:G12" si="1">+F6+1</f>
        <v>28</v>
      </c>
      <c r="H6" s="3">
        <f t="shared" ref="H6:H12" si="2">+$B$5*D6</f>
        <v>26049.984</v>
      </c>
      <c r="I6" s="3">
        <f t="shared" ref="I6:I12" si="3">+H6/250</f>
        <v>104.19993600000001</v>
      </c>
      <c r="J6" s="193">
        <f>0.23*+('3.11 - Presupuesto gastos'!D7+'3.11 - Presupuesto gastos'!D8+'3.11 - Presupuesto gastos'!D9+'3.11 - Presupuesto gastos'!D18+'3.11 - Presupuesto gastos'!D20+'3.8 - Costos CCP '!D10)/10000</f>
        <v>1.9551329737578806</v>
      </c>
      <c r="K6" s="193">
        <f>(584*12*'3.4 - Plan de fabricacion'!$BR$8/'3.6 - Costos MP'!$L$4)/75000</f>
        <v>5.1357047381546131E-2</v>
      </c>
      <c r="L6" s="14">
        <f>+SQRT(2*H6*J6/K6)</f>
        <v>1408.3378608599294</v>
      </c>
      <c r="M6" s="120">
        <v>0.95</v>
      </c>
      <c r="N6" s="1360">
        <v>1.645</v>
      </c>
      <c r="O6" s="392">
        <f t="shared" ref="O6:O7" si="4">4787*D6</f>
        <v>2807.5754999999999</v>
      </c>
      <c r="P6" s="392">
        <f t="shared" ref="P6:P7" si="5">4442*D6</f>
        <v>2605.2330000000002</v>
      </c>
      <c r="Q6" s="392">
        <f t="shared" ref="Q6:Q12" si="6">+O6-P6</f>
        <v>202.34249999999975</v>
      </c>
      <c r="R6" s="392">
        <f t="shared" si="0"/>
        <v>3119.9407080000001</v>
      </c>
      <c r="S6" s="1360">
        <f>ROUNDUP(R6/1000+L6/1000,0)</f>
        <v>5</v>
      </c>
      <c r="T6" s="1714"/>
      <c r="U6" s="1214">
        <f t="shared" ref="U6" si="7">+S6/2+Q6/1000</f>
        <v>2.7023424999999999</v>
      </c>
    </row>
    <row r="7" spans="2:21">
      <c r="B7" s="1526"/>
      <c r="C7" s="55" t="s">
        <v>1118</v>
      </c>
      <c r="D7" s="1360">
        <f>+'3.6 - Costos MP'!E15</f>
        <v>5.1000000000000004E-2</v>
      </c>
      <c r="E7" s="14">
        <v>0.24688279301745636</v>
      </c>
      <c r="F7" s="1360">
        <v>28</v>
      </c>
      <c r="G7" s="1360">
        <f t="shared" si="1"/>
        <v>29</v>
      </c>
      <c r="H7" s="3">
        <f t="shared" si="2"/>
        <v>2265.2160000000003</v>
      </c>
      <c r="I7" s="3">
        <f t="shared" si="3"/>
        <v>9.0608640000000022</v>
      </c>
      <c r="J7" s="193">
        <f>0.02*+('3.11 - Presupuesto gastos'!D7+'3.11 - Presupuesto gastos'!D8+'3.11 - Presupuesto gastos'!D9+'3.11 - Presupuesto gastos'!D18+'3.11 - Presupuesto gastos'!D20+'3.8 - Costos CCP '!D10)/10000</f>
        <v>0.17001156293546787</v>
      </c>
      <c r="K7" s="193">
        <f>(584*12*'3.4 - Plan de fabricacion'!$BR$8/'3.6 - Costos MP'!$L$4)/73125</f>
        <v>5.2673894750303728E-2</v>
      </c>
      <c r="L7" s="14">
        <f t="shared" ref="L7:L12" si="8">+SQRT(2*H7*J7/K7)</f>
        <v>120.92367078270162</v>
      </c>
      <c r="M7" s="120">
        <v>0.95</v>
      </c>
      <c r="N7" s="1360">
        <v>1.645</v>
      </c>
      <c r="O7" s="392">
        <f t="shared" si="4"/>
        <v>244.13700000000003</v>
      </c>
      <c r="P7" s="392">
        <f t="shared" si="5"/>
        <v>226.54200000000003</v>
      </c>
      <c r="Q7" s="392">
        <f t="shared" si="6"/>
        <v>17.594999999999999</v>
      </c>
      <c r="R7" s="392">
        <f t="shared" si="0"/>
        <v>280.3600560000001</v>
      </c>
      <c r="S7" s="1360">
        <f>ROUNDUP(R7/975+L7/975,0)</f>
        <v>1</v>
      </c>
      <c r="T7" s="1714"/>
      <c r="U7" s="1214">
        <f>+S7/2+Q7/975</f>
        <v>0.51804615384615382</v>
      </c>
    </row>
    <row r="8" spans="2:21">
      <c r="B8" s="1526"/>
      <c r="C8" s="55" t="s">
        <v>1119</v>
      </c>
      <c r="D8" s="1360">
        <f>+'3.6 - Costos MP'!C20</f>
        <v>4.0000000000000001E-3</v>
      </c>
      <c r="E8" s="1213">
        <v>3.1720698254364091E-2</v>
      </c>
      <c r="F8" s="1360">
        <v>35</v>
      </c>
      <c r="G8" s="1360">
        <f t="shared" si="1"/>
        <v>36</v>
      </c>
      <c r="H8" s="3">
        <f t="shared" si="2"/>
        <v>177.66400000000002</v>
      </c>
      <c r="I8" s="3">
        <f t="shared" si="3"/>
        <v>0.71065600000000007</v>
      </c>
      <c r="J8" s="193">
        <f>+('3.11 - Presupuesto gastos'!D7+'3.11 - Presupuesto gastos'!D8+'3.11 - Presupuesto gastos'!D9+'3.11 - Presupuesto gastos'!D18+'3.11 - Presupuesto gastos'!D20+'3.8 - Costos CCP '!D10)/10000*D8</f>
        <v>3.4002312587093568E-2</v>
      </c>
      <c r="K8" s="193">
        <f>(584*12*'3.4 - Plan de fabricacion'!$BR$8/'3.6 - Costos MP'!$L$4)/750</f>
        <v>5.1357047381546135</v>
      </c>
      <c r="L8" s="14">
        <f t="shared" si="8"/>
        <v>1.5338006583050177</v>
      </c>
      <c r="M8" s="120">
        <v>0.9</v>
      </c>
      <c r="N8" s="1360">
        <v>1.28</v>
      </c>
      <c r="O8" s="392">
        <v>4787</v>
      </c>
      <c r="P8" s="392">
        <v>4442</v>
      </c>
      <c r="Q8" s="392">
        <v>4</v>
      </c>
      <c r="R8" s="392">
        <f t="shared" si="0"/>
        <v>29.583616000000003</v>
      </c>
      <c r="S8" s="1360">
        <v>17</v>
      </c>
      <c r="T8" s="1714"/>
      <c r="U8" s="1214">
        <v>9</v>
      </c>
    </row>
    <row r="9" spans="2:21">
      <c r="B9" s="1526"/>
      <c r="C9" s="55" t="s">
        <v>1120</v>
      </c>
      <c r="D9" s="1360">
        <f>+'3.6 - Costos MP'!C21</f>
        <v>4.0000000000000001E-3</v>
      </c>
      <c r="E9" s="1213">
        <v>5.0521695760598504E-3</v>
      </c>
      <c r="F9" s="1360">
        <v>22</v>
      </c>
      <c r="G9" s="1360">
        <f t="shared" si="1"/>
        <v>23</v>
      </c>
      <c r="H9" s="3">
        <f t="shared" si="2"/>
        <v>177.66400000000002</v>
      </c>
      <c r="I9" s="3">
        <f t="shared" si="3"/>
        <v>0.71065600000000007</v>
      </c>
      <c r="J9" s="193">
        <f>+('3.11 - Presupuesto gastos'!D7+'3.11 - Presupuesto gastos'!D8+'3.11 - Presupuesto gastos'!D9+'3.11 - Presupuesto gastos'!D18+'3.11 - Presupuesto gastos'!D20+'3.8 - Costos CCP '!D10)/10000*D9</f>
        <v>3.4002312587093568E-2</v>
      </c>
      <c r="K9" s="193">
        <f>(584*12*'3.4 - Plan de fabricacion'!$BR$8/'3.6 - Costos MP'!$L$4)/25275</f>
        <v>0.15239479935176894</v>
      </c>
      <c r="L9" s="14">
        <f t="shared" si="8"/>
        <v>8.9039737354930306</v>
      </c>
      <c r="M9" s="120">
        <v>0.9</v>
      </c>
      <c r="N9" s="1360">
        <v>1.28</v>
      </c>
      <c r="O9" s="392">
        <v>4787</v>
      </c>
      <c r="P9" s="392">
        <v>4442</v>
      </c>
      <c r="Q9" s="392">
        <f t="shared" si="6"/>
        <v>345</v>
      </c>
      <c r="R9" s="392">
        <f t="shared" si="0"/>
        <v>361.34508799999998</v>
      </c>
      <c r="S9" s="1360">
        <f>ROUNDUP(R9/337+L9/337,0)</f>
        <v>2</v>
      </c>
      <c r="T9" s="1714"/>
      <c r="U9" s="1214">
        <f>+S9/2+Q9/337</f>
        <v>2.0237388724035608</v>
      </c>
    </row>
    <row r="10" spans="2:21">
      <c r="B10" s="1526"/>
      <c r="C10" s="55" t="s">
        <v>1121</v>
      </c>
      <c r="D10" s="1360">
        <f>+'3.6 - Costos MP'!C22</f>
        <v>9.1999999999999998E-2</v>
      </c>
      <c r="E10" s="1213">
        <v>2.4766583541147133E-3</v>
      </c>
      <c r="F10" s="1360">
        <v>22</v>
      </c>
      <c r="G10" s="1360">
        <f t="shared" si="1"/>
        <v>23</v>
      </c>
      <c r="H10" s="3">
        <f t="shared" si="2"/>
        <v>4086.2719999999999</v>
      </c>
      <c r="I10" s="3">
        <f t="shared" si="3"/>
        <v>16.345088000000001</v>
      </c>
      <c r="J10" s="193">
        <f>++('3.11 - Presupuesto gastos'!D7+'3.11 - Presupuesto gastos'!D8+'3.11 - Presupuesto gastos'!D9+'3.11 - Presupuesto gastos'!D18+'3.11 - Presupuesto gastos'!D20+'3.8 - Costos CCP '!D10)/10000*D10</f>
        <v>0.78205318950315206</v>
      </c>
      <c r="K10" s="193">
        <f>(584*12*'3.4 - Plan de fabricacion'!$BR$8/'3.6 - Costos MP'!$L$4)/64779</f>
        <v>5.9460296602540326E-2</v>
      </c>
      <c r="L10" s="14">
        <f t="shared" si="8"/>
        <v>327.85608146836688</v>
      </c>
      <c r="M10" s="120">
        <v>0.9</v>
      </c>
      <c r="N10" s="1360">
        <v>1.28</v>
      </c>
      <c r="O10" s="392">
        <v>4787</v>
      </c>
      <c r="P10" s="392">
        <v>4442</v>
      </c>
      <c r="Q10" s="392">
        <f t="shared" si="6"/>
        <v>345</v>
      </c>
      <c r="R10" s="392">
        <f t="shared" si="0"/>
        <v>720.93702400000006</v>
      </c>
      <c r="S10" s="1360">
        <f>ROUNDUP(R10/750+L10/750,0)</f>
        <v>2</v>
      </c>
      <c r="T10" s="1714"/>
      <c r="U10" s="1214">
        <f>+S10/2+Q10/1020</f>
        <v>1.3382352941176472</v>
      </c>
    </row>
    <row r="11" spans="2:21">
      <c r="B11" s="1526"/>
      <c r="C11" s="55" t="s">
        <v>1122</v>
      </c>
      <c r="D11" s="1360">
        <f>+'3.6 - Costos MP'!C23</f>
        <v>5.1999999999999998E-2</v>
      </c>
      <c r="E11" s="1213">
        <v>1.2527219881331155E-3</v>
      </c>
      <c r="F11" s="1360">
        <v>22</v>
      </c>
      <c r="G11" s="1360">
        <f t="shared" si="1"/>
        <v>23</v>
      </c>
      <c r="H11" s="3">
        <f t="shared" si="2"/>
        <v>2309.6320000000001</v>
      </c>
      <c r="I11" s="3">
        <f t="shared" si="3"/>
        <v>9.2385280000000005</v>
      </c>
      <c r="J11" s="193">
        <f>+D11*('3.11 - Presupuesto gastos'!D7+'3.11 - Presupuesto gastos'!D8+'3.11 - Presupuesto gastos'!D9+'3.11 - Presupuesto gastos'!D18+'3.11 - Presupuesto gastos'!D20+'3.8 - Costos CCP '!D10)/10000</f>
        <v>0.44203006363221647</v>
      </c>
      <c r="K11" s="193">
        <f>(584*12*'3.4 - Plan de fabricacion'!$BR$8/'3.6 - Costos MP'!$L$4)/64779</f>
        <v>5.9460296602540326E-2</v>
      </c>
      <c r="L11" s="14">
        <f t="shared" si="8"/>
        <v>185.30995909081608</v>
      </c>
      <c r="M11" s="120">
        <v>0.9</v>
      </c>
      <c r="N11" s="1360">
        <v>1.28</v>
      </c>
      <c r="O11" s="392">
        <v>4787</v>
      </c>
      <c r="P11" s="392">
        <v>4442</v>
      </c>
      <c r="Q11" s="392">
        <f t="shared" si="6"/>
        <v>345</v>
      </c>
      <c r="R11" s="392">
        <f t="shared" si="0"/>
        <v>557.48614399999997</v>
      </c>
      <c r="S11" s="1360">
        <f>ROUNDUP(R11/750+L11/750,0)</f>
        <v>1</v>
      </c>
      <c r="T11" s="1714"/>
      <c r="U11" s="1214">
        <f>+S11/2+Q11/748</f>
        <v>0.96122994652406413</v>
      </c>
    </row>
    <row r="12" spans="2:21" ht="15" thickBot="1">
      <c r="B12" s="1522"/>
      <c r="C12" s="684" t="s">
        <v>1123</v>
      </c>
      <c r="D12" s="1367">
        <f>+'3.6 - Costos MP'!C24</f>
        <v>1.6E-2</v>
      </c>
      <c r="E12" s="1215">
        <v>7.9162094763092269E-3</v>
      </c>
      <c r="F12" s="1367">
        <v>22</v>
      </c>
      <c r="G12" s="1367">
        <f t="shared" si="1"/>
        <v>23</v>
      </c>
      <c r="H12" s="24">
        <f t="shared" si="2"/>
        <v>710.65600000000006</v>
      </c>
      <c r="I12" s="24">
        <f t="shared" si="3"/>
        <v>2.8426240000000003</v>
      </c>
      <c r="J12" s="178">
        <f>+D12*('3.11 - Presupuesto gastos'!D7+'3.11 - Presupuesto gastos'!D8+'3.11 - Presupuesto gastos'!D9+'3.11 - Presupuesto gastos'!D18+'3.11 - Presupuesto gastos'!D20+'3.8 - Costos CCP '!D10)/10000</f>
        <v>0.1360092503483743</v>
      </c>
      <c r="K12" s="178">
        <f>(584*12*'3.4 - Plan de fabricacion'!$BR$8/'3.6 - Costos MP'!$L$4)/168750</f>
        <v>2.282535439179828E-2</v>
      </c>
      <c r="L12" s="16">
        <f t="shared" si="8"/>
        <v>92.028039498301069</v>
      </c>
      <c r="M12" s="552">
        <v>0.9</v>
      </c>
      <c r="N12" s="1367">
        <v>1.28</v>
      </c>
      <c r="O12" s="129">
        <v>4787</v>
      </c>
      <c r="P12" s="129">
        <v>4442</v>
      </c>
      <c r="Q12" s="129">
        <f t="shared" si="6"/>
        <v>345</v>
      </c>
      <c r="R12" s="129">
        <f t="shared" si="0"/>
        <v>410.38035200000002</v>
      </c>
      <c r="S12" s="1367">
        <f>ROUNDUP(R12/2250+L12/2250,0)</f>
        <v>1</v>
      </c>
      <c r="T12" s="1715"/>
      <c r="U12" s="1216">
        <f>+S12/2+Q12/2250</f>
        <v>0.65333333333333332</v>
      </c>
    </row>
    <row r="13" spans="2:21" ht="15" thickBot="1"/>
    <row r="14" spans="2:21" ht="87" thickBot="1">
      <c r="B14" s="484" t="s">
        <v>1124</v>
      </c>
      <c r="C14" s="773" t="s">
        <v>1097</v>
      </c>
      <c r="D14" s="773" t="s">
        <v>1098</v>
      </c>
      <c r="E14" s="773" t="s">
        <v>726</v>
      </c>
      <c r="F14" s="773" t="s">
        <v>1100</v>
      </c>
      <c r="G14" s="773" t="s">
        <v>1101</v>
      </c>
      <c r="H14" s="773" t="s">
        <v>1102</v>
      </c>
      <c r="I14" s="773" t="s">
        <v>1103</v>
      </c>
      <c r="J14" s="773" t="s">
        <v>1104</v>
      </c>
      <c r="K14" s="773" t="s">
        <v>1105</v>
      </c>
      <c r="L14" s="773" t="s">
        <v>1106</v>
      </c>
      <c r="M14" s="773" t="s">
        <v>1107</v>
      </c>
      <c r="N14" s="773" t="s">
        <v>1108</v>
      </c>
      <c r="O14" s="773" t="s">
        <v>1109</v>
      </c>
      <c r="P14" s="773" t="s">
        <v>1110</v>
      </c>
      <c r="Q14" s="773" t="s">
        <v>1111</v>
      </c>
      <c r="R14" s="773" t="s">
        <v>1112</v>
      </c>
      <c r="S14" s="773" t="s">
        <v>1113</v>
      </c>
      <c r="T14" s="773" t="s">
        <v>1114</v>
      </c>
      <c r="U14" s="1212" t="s">
        <v>1115</v>
      </c>
    </row>
    <row r="15" spans="2:21">
      <c r="B15" s="1713">
        <f>+'3.4 - Plan de fabricacion'!AB14</f>
        <v>111360.00000000003</v>
      </c>
      <c r="C15" s="1217" t="s">
        <v>1116</v>
      </c>
      <c r="D15" s="131">
        <v>1.9125000000000001</v>
      </c>
      <c r="E15" s="1220">
        <f>+E5*1.022</f>
        <v>3.801916458852868</v>
      </c>
      <c r="F15" s="131">
        <v>24</v>
      </c>
      <c r="G15" s="131">
        <f>+F15+1</f>
        <v>25</v>
      </c>
      <c r="H15" s="570">
        <f>+D15*$B$15</f>
        <v>212976.00000000006</v>
      </c>
      <c r="I15" s="570">
        <f>+H15/250</f>
        <v>851.90400000000022</v>
      </c>
      <c r="J15" s="821">
        <f>+J5*1.022</f>
        <v>6.5156931495018053</v>
      </c>
      <c r="K15" s="821">
        <f>+K5*1.022</f>
        <v>5.2486902423940149E-2</v>
      </c>
      <c r="L15" s="569">
        <f>+SQRT(2*H15*J15/K15)</f>
        <v>7271.6869000944225</v>
      </c>
      <c r="M15" s="1210">
        <v>0.95</v>
      </c>
      <c r="N15" s="131">
        <v>1.645</v>
      </c>
      <c r="O15" s="1218">
        <f>9800*D15</f>
        <v>18742.5</v>
      </c>
      <c r="P15" s="1218">
        <f>9280*D15</f>
        <v>17748</v>
      </c>
      <c r="Q15" s="1218">
        <f>+O15-P15</f>
        <v>994.5</v>
      </c>
      <c r="R15" s="1218">
        <f t="shared" ref="R15:R22" si="9">+I15*G15+Q15</f>
        <v>22292.100000000006</v>
      </c>
      <c r="S15" s="131">
        <f>ROUNDUP(R15/1000+L15/1000,0)</f>
        <v>30</v>
      </c>
      <c r="T15" s="1714">
        <f>+SUM(S15:S22)/75</f>
        <v>0.88</v>
      </c>
      <c r="U15" s="1219">
        <f>+S15/2+Q15/1000</f>
        <v>15.9945</v>
      </c>
    </row>
    <row r="16" spans="2:21">
      <c r="B16" s="1526"/>
      <c r="C16" s="55" t="s">
        <v>1117</v>
      </c>
      <c r="D16" s="1360">
        <v>0.58650000000000002</v>
      </c>
      <c r="E16" s="1213">
        <f t="shared" ref="E16:E22" si="10">+E6*1.022</f>
        <v>1.2309875311720699</v>
      </c>
      <c r="F16" s="1360">
        <v>27</v>
      </c>
      <c r="G16" s="1360">
        <f t="shared" ref="G16:G22" si="11">+F16+1</f>
        <v>28</v>
      </c>
      <c r="H16" s="3">
        <f t="shared" ref="H16:H22" si="12">+D16*$B$15</f>
        <v>65312.640000000021</v>
      </c>
      <c r="I16" s="3">
        <f t="shared" ref="I16:I22" si="13">+H16/250</f>
        <v>261.25056000000006</v>
      </c>
      <c r="J16" s="193">
        <f t="shared" ref="J16:K22" si="14">+J6*1.022</f>
        <v>1.9981458991805541</v>
      </c>
      <c r="K16" s="193">
        <f t="shared" si="14"/>
        <v>5.2486902423940149E-2</v>
      </c>
      <c r="L16" s="14">
        <f t="shared" ref="L16:L22" si="15">+SQRT(2*H16*J16/K16)</f>
        <v>2229.9839826956231</v>
      </c>
      <c r="M16" s="120">
        <v>0.95</v>
      </c>
      <c r="N16" s="1360">
        <v>1.645</v>
      </c>
      <c r="O16" s="392">
        <f>9800*D16</f>
        <v>5747.7</v>
      </c>
      <c r="P16" s="392">
        <f>9280*D16</f>
        <v>5442.72</v>
      </c>
      <c r="Q16" s="392">
        <f t="shared" ref="Q16:Q22" si="16">+O16-P16</f>
        <v>304.97999999999956</v>
      </c>
      <c r="R16" s="392">
        <f t="shared" si="9"/>
        <v>7619.9956800000018</v>
      </c>
      <c r="S16" s="1360">
        <f>ROUNDUP(R16/1000+L16/1000,0)</f>
        <v>10</v>
      </c>
      <c r="T16" s="1714"/>
      <c r="U16" s="1214">
        <f t="shared" ref="U16" si="17">+S16/2+Q16/1000</f>
        <v>5.3049799999999996</v>
      </c>
    </row>
    <row r="17" spans="2:21">
      <c r="B17" s="1526"/>
      <c r="C17" s="55" t="s">
        <v>1118</v>
      </c>
      <c r="D17" s="1360">
        <v>5.1000000000000004E-2</v>
      </c>
      <c r="E17" s="1213">
        <f t="shared" si="10"/>
        <v>0.25231421446384039</v>
      </c>
      <c r="F17" s="1360">
        <v>28</v>
      </c>
      <c r="G17" s="1360">
        <f t="shared" si="11"/>
        <v>29</v>
      </c>
      <c r="H17" s="3">
        <f t="shared" si="12"/>
        <v>5679.3600000000015</v>
      </c>
      <c r="I17" s="3">
        <f t="shared" si="13"/>
        <v>22.717440000000007</v>
      </c>
      <c r="J17" s="193">
        <f t="shared" si="14"/>
        <v>0.17375181732004816</v>
      </c>
      <c r="K17" s="193">
        <f t="shared" si="14"/>
        <v>5.383272043481041E-2</v>
      </c>
      <c r="L17" s="14">
        <f t="shared" si="15"/>
        <v>191.4724133096376</v>
      </c>
      <c r="M17" s="120">
        <v>0.95</v>
      </c>
      <c r="N17" s="1360">
        <v>1.645</v>
      </c>
      <c r="O17" s="392">
        <f>9800*D17</f>
        <v>499.8</v>
      </c>
      <c r="P17" s="392">
        <f>9280*D17</f>
        <v>473.28000000000003</v>
      </c>
      <c r="Q17" s="392">
        <f t="shared" si="16"/>
        <v>26.519999999999982</v>
      </c>
      <c r="R17" s="392">
        <f t="shared" si="9"/>
        <v>685.32576000000017</v>
      </c>
      <c r="S17" s="1360">
        <f>ROUNDUP(R17/975+L17/975,0)</f>
        <v>1</v>
      </c>
      <c r="T17" s="1714"/>
      <c r="U17" s="1214">
        <f>+S17/2+Q17/975</f>
        <v>0.5272</v>
      </c>
    </row>
    <row r="18" spans="2:21">
      <c r="B18" s="1526"/>
      <c r="C18" s="55" t="s">
        <v>1119</v>
      </c>
      <c r="D18" s="1360">
        <v>4.0000000000000001E-3</v>
      </c>
      <c r="E18" s="1213">
        <f t="shared" si="10"/>
        <v>3.2418553615960098E-2</v>
      </c>
      <c r="F18" s="1360">
        <v>35</v>
      </c>
      <c r="G18" s="1360">
        <f t="shared" si="11"/>
        <v>36</v>
      </c>
      <c r="H18" s="3">
        <f t="shared" si="12"/>
        <v>445.44000000000011</v>
      </c>
      <c r="I18" s="3">
        <f t="shared" si="13"/>
        <v>1.7817600000000005</v>
      </c>
      <c r="J18" s="193">
        <f t="shared" si="14"/>
        <v>3.4750363464009629E-2</v>
      </c>
      <c r="K18" s="193">
        <f t="shared" si="14"/>
        <v>5.2486902423940149</v>
      </c>
      <c r="L18" s="14">
        <f t="shared" si="15"/>
        <v>2.4286437194692256</v>
      </c>
      <c r="M18" s="120">
        <v>0.9</v>
      </c>
      <c r="N18" s="1360">
        <v>1.28</v>
      </c>
      <c r="O18" s="392">
        <v>9800</v>
      </c>
      <c r="P18" s="392">
        <v>9280</v>
      </c>
      <c r="Q18" s="392">
        <v>64</v>
      </c>
      <c r="R18" s="392">
        <f t="shared" si="9"/>
        <v>128.14336000000003</v>
      </c>
      <c r="S18" s="1360">
        <v>17</v>
      </c>
      <c r="T18" s="1714"/>
      <c r="U18" s="1214">
        <v>6</v>
      </c>
    </row>
    <row r="19" spans="2:21">
      <c r="B19" s="1526"/>
      <c r="C19" s="55" t="s">
        <v>1120</v>
      </c>
      <c r="D19" s="1360">
        <v>4.0000000000000001E-3</v>
      </c>
      <c r="E19" s="1213">
        <f t="shared" si="10"/>
        <v>5.1633173067331672E-3</v>
      </c>
      <c r="F19" s="1360">
        <v>22</v>
      </c>
      <c r="G19" s="1360">
        <f t="shared" si="11"/>
        <v>23</v>
      </c>
      <c r="H19" s="3">
        <f t="shared" si="12"/>
        <v>445.44000000000011</v>
      </c>
      <c r="I19" s="3">
        <f t="shared" si="13"/>
        <v>1.7817600000000005</v>
      </c>
      <c r="J19" s="193">
        <f t="shared" si="14"/>
        <v>3.4750363464009629E-2</v>
      </c>
      <c r="K19" s="193">
        <f t="shared" si="14"/>
        <v>0.15574748493750787</v>
      </c>
      <c r="L19" s="14">
        <f t="shared" si="15"/>
        <v>14.098689926839072</v>
      </c>
      <c r="M19" s="120">
        <v>0.9</v>
      </c>
      <c r="N19" s="1360">
        <v>1.28</v>
      </c>
      <c r="O19" s="392">
        <v>9800</v>
      </c>
      <c r="P19" s="392">
        <v>9280</v>
      </c>
      <c r="Q19" s="392">
        <f t="shared" si="16"/>
        <v>520</v>
      </c>
      <c r="R19" s="392">
        <f t="shared" si="9"/>
        <v>560.98048000000006</v>
      </c>
      <c r="S19" s="1360">
        <f>ROUNDUP(R19/337+L19/337,0)</f>
        <v>2</v>
      </c>
      <c r="T19" s="1714"/>
      <c r="U19" s="1214">
        <f>+S19/2+Q19/337</f>
        <v>2.543026706231454</v>
      </c>
    </row>
    <row r="20" spans="2:21">
      <c r="B20" s="1526"/>
      <c r="C20" s="55" t="s">
        <v>1121</v>
      </c>
      <c r="D20" s="1360">
        <v>9.1999999999999998E-2</v>
      </c>
      <c r="E20" s="1213">
        <f t="shared" si="10"/>
        <v>2.5311448379052369E-3</v>
      </c>
      <c r="F20" s="1360">
        <v>22</v>
      </c>
      <c r="G20" s="1360">
        <f t="shared" si="11"/>
        <v>23</v>
      </c>
      <c r="H20" s="3">
        <f t="shared" si="12"/>
        <v>10245.120000000003</v>
      </c>
      <c r="I20" s="3">
        <f t="shared" si="13"/>
        <v>40.980480000000007</v>
      </c>
      <c r="J20" s="193">
        <f t="shared" si="14"/>
        <v>0.79925835967222136</v>
      </c>
      <c r="K20" s="193">
        <f t="shared" si="14"/>
        <v>6.0768423127796213E-2</v>
      </c>
      <c r="L20" s="14">
        <f t="shared" si="15"/>
        <v>519.13239757496274</v>
      </c>
      <c r="M20" s="120">
        <v>0.9</v>
      </c>
      <c r="N20" s="1360">
        <v>1.28</v>
      </c>
      <c r="O20" s="392">
        <v>9800</v>
      </c>
      <c r="P20" s="392">
        <v>9280</v>
      </c>
      <c r="Q20" s="392">
        <f t="shared" si="16"/>
        <v>520</v>
      </c>
      <c r="R20" s="392">
        <f t="shared" si="9"/>
        <v>1462.5510400000003</v>
      </c>
      <c r="S20" s="1360">
        <f>ROUNDUP(R20/750+L20/750,0)</f>
        <v>3</v>
      </c>
      <c r="T20" s="1714"/>
      <c r="U20" s="1214">
        <f>+S20/2+Q20/1020</f>
        <v>2.0098039215686274</v>
      </c>
    </row>
    <row r="21" spans="2:21">
      <c r="B21" s="1526"/>
      <c r="C21" s="55" t="s">
        <v>1122</v>
      </c>
      <c r="D21" s="1360">
        <v>5.1999999999999998E-2</v>
      </c>
      <c r="E21" s="1213">
        <f t="shared" si="10"/>
        <v>1.280281871872044E-3</v>
      </c>
      <c r="F21" s="1360">
        <v>22</v>
      </c>
      <c r="G21" s="1360">
        <f t="shared" si="11"/>
        <v>23</v>
      </c>
      <c r="H21" s="3">
        <f t="shared" si="12"/>
        <v>5790.7200000000012</v>
      </c>
      <c r="I21" s="3">
        <f t="shared" si="13"/>
        <v>23.162880000000005</v>
      </c>
      <c r="J21" s="193">
        <f t="shared" si="14"/>
        <v>0.45175472503212527</v>
      </c>
      <c r="K21" s="193">
        <f t="shared" si="14"/>
        <v>6.0768423127796213E-2</v>
      </c>
      <c r="L21" s="14">
        <f t="shared" si="15"/>
        <v>293.42265949889202</v>
      </c>
      <c r="M21" s="120">
        <v>0.9</v>
      </c>
      <c r="N21" s="1360">
        <v>1.28</v>
      </c>
      <c r="O21" s="392">
        <v>9800</v>
      </c>
      <c r="P21" s="392">
        <v>9280</v>
      </c>
      <c r="Q21" s="392">
        <f t="shared" si="16"/>
        <v>520</v>
      </c>
      <c r="R21" s="392">
        <f t="shared" si="9"/>
        <v>1052.7462399999999</v>
      </c>
      <c r="S21" s="1360">
        <f>ROUNDUP(R21/750+L21/750,0)</f>
        <v>2</v>
      </c>
      <c r="T21" s="1714"/>
      <c r="U21" s="1214">
        <f>+S21/2+Q21/748</f>
        <v>1.6951871657754012</v>
      </c>
    </row>
    <row r="22" spans="2:21" ht="15" thickBot="1">
      <c r="B22" s="1522"/>
      <c r="C22" s="684" t="s">
        <v>1123</v>
      </c>
      <c r="D22" s="1367">
        <v>1.6E-2</v>
      </c>
      <c r="E22" s="1215">
        <f t="shared" si="10"/>
        <v>8.0903660847880306E-3</v>
      </c>
      <c r="F22" s="1367">
        <v>22</v>
      </c>
      <c r="G22" s="1367">
        <f t="shared" si="11"/>
        <v>23</v>
      </c>
      <c r="H22" s="24">
        <f t="shared" si="12"/>
        <v>1781.7600000000004</v>
      </c>
      <c r="I22" s="24">
        <f t="shared" si="13"/>
        <v>7.1270400000000018</v>
      </c>
      <c r="J22" s="178">
        <f t="shared" si="14"/>
        <v>0.13900145385603854</v>
      </c>
      <c r="K22" s="178">
        <f t="shared" si="14"/>
        <v>2.3327512188417842E-2</v>
      </c>
      <c r="L22" s="16">
        <f t="shared" si="15"/>
        <v>145.71862316815356</v>
      </c>
      <c r="M22" s="552">
        <v>0.9</v>
      </c>
      <c r="N22" s="1367">
        <v>1.28</v>
      </c>
      <c r="O22" s="129">
        <v>9800</v>
      </c>
      <c r="P22" s="129">
        <v>9280</v>
      </c>
      <c r="Q22" s="129">
        <f t="shared" si="16"/>
        <v>520</v>
      </c>
      <c r="R22" s="129">
        <f t="shared" si="9"/>
        <v>683.92192</v>
      </c>
      <c r="S22" s="1367">
        <f>ROUNDUP(R22/2250+L22/2250,0)</f>
        <v>1</v>
      </c>
      <c r="T22" s="1715"/>
      <c r="U22" s="1216">
        <f>+S22/2+Q22/2250</f>
        <v>0.73111111111111104</v>
      </c>
    </row>
    <row r="23" spans="2:21" ht="15" thickBot="1"/>
    <row r="24" spans="2:21" ht="87" thickBot="1">
      <c r="B24" s="484" t="s">
        <v>1125</v>
      </c>
      <c r="C24" s="773" t="s">
        <v>1097</v>
      </c>
      <c r="D24" s="773" t="s">
        <v>1098</v>
      </c>
      <c r="E24" s="773" t="s">
        <v>726</v>
      </c>
      <c r="F24" s="773" t="s">
        <v>1100</v>
      </c>
      <c r="G24" s="773" t="s">
        <v>1101</v>
      </c>
      <c r="H24" s="773" t="s">
        <v>1102</v>
      </c>
      <c r="I24" s="773" t="s">
        <v>1103</v>
      </c>
      <c r="J24" s="773" t="s">
        <v>1104</v>
      </c>
      <c r="K24" s="773" t="s">
        <v>1105</v>
      </c>
      <c r="L24" s="773" t="s">
        <v>1106</v>
      </c>
      <c r="M24" s="773" t="s">
        <v>1107</v>
      </c>
      <c r="N24" s="773" t="s">
        <v>1108</v>
      </c>
      <c r="O24" s="773" t="s">
        <v>1109</v>
      </c>
      <c r="P24" s="773" t="s">
        <v>1110</v>
      </c>
      <c r="Q24" s="773" t="s">
        <v>1111</v>
      </c>
      <c r="R24" s="773" t="s">
        <v>1112</v>
      </c>
      <c r="S24" s="773" t="s">
        <v>1113</v>
      </c>
      <c r="T24" s="773" t="s">
        <v>1114</v>
      </c>
      <c r="U24" s="1212" t="s">
        <v>1115</v>
      </c>
    </row>
    <row r="25" spans="2:21">
      <c r="B25" s="1713">
        <f>+'3.4 - Plan de fabricacion'!AO14</f>
        <v>222720.00000000006</v>
      </c>
      <c r="C25" s="1217" t="s">
        <v>1116</v>
      </c>
      <c r="D25" s="131">
        <v>1.9125000000000001</v>
      </c>
      <c r="E25" s="1220">
        <f>+E15*1.022</f>
        <v>3.8855586209476312</v>
      </c>
      <c r="F25" s="131">
        <v>24</v>
      </c>
      <c r="G25" s="131">
        <f>+F25+1</f>
        <v>25</v>
      </c>
      <c r="H25" s="570">
        <f>+$B$25*D25</f>
        <v>425952.00000000012</v>
      </c>
      <c r="I25" s="570">
        <f>+H25/250</f>
        <v>1703.8080000000004</v>
      </c>
      <c r="J25" s="821">
        <f>+J15*1.022</f>
        <v>6.6590383987908455</v>
      </c>
      <c r="K25" s="821">
        <f>+K15*1.022</f>
        <v>5.3641614277266832E-2</v>
      </c>
      <c r="L25" s="569">
        <f>+SQRT(2*H25*J25/K25)</f>
        <v>10283.718235444303</v>
      </c>
      <c r="M25" s="1210">
        <v>0.95</v>
      </c>
      <c r="N25" s="131">
        <v>1.645</v>
      </c>
      <c r="O25" s="1218">
        <f>19599*D25</f>
        <v>37483.087500000001</v>
      </c>
      <c r="P25" s="1218">
        <f>18560*D25</f>
        <v>35496</v>
      </c>
      <c r="Q25" s="1218">
        <f t="shared" ref="Q25:Q32" si="18">+O25-P25</f>
        <v>1987.0875000000015</v>
      </c>
      <c r="R25" s="1218">
        <f>+I25*G25+Q25</f>
        <v>44582.287500000013</v>
      </c>
      <c r="S25" s="131">
        <f>ROUNDUP(ROUNDUP(R25/1000+L25/1000,0)/2,0)</f>
        <v>28</v>
      </c>
      <c r="T25" s="1714">
        <f>+SUM(S25:S32)/75</f>
        <v>0.82666666666666666</v>
      </c>
      <c r="U25" s="1219">
        <f>+S25/2+Q25/1000</f>
        <v>15.987087500000001</v>
      </c>
    </row>
    <row r="26" spans="2:21">
      <c r="B26" s="1526"/>
      <c r="C26" s="55" t="s">
        <v>1117</v>
      </c>
      <c r="D26" s="1360">
        <v>0.58650000000000002</v>
      </c>
      <c r="E26" s="1213">
        <f t="shared" ref="E26:E32" si="19">+E16*1.022</f>
        <v>1.2580692568578555</v>
      </c>
      <c r="F26" s="1360">
        <v>27</v>
      </c>
      <c r="G26" s="1360">
        <f t="shared" ref="G26:G32" si="20">+F26+1</f>
        <v>28</v>
      </c>
      <c r="H26" s="3">
        <f t="shared" ref="H26:H32" si="21">+$B$25*D26</f>
        <v>130625.28000000004</v>
      </c>
      <c r="I26" s="3">
        <f t="shared" ref="I26:I32" si="22">+H26/250</f>
        <v>522.50112000000013</v>
      </c>
      <c r="J26" s="193">
        <f t="shared" ref="J26:K32" si="23">+J16*1.022</f>
        <v>2.0421051089625264</v>
      </c>
      <c r="K26" s="193">
        <f t="shared" si="23"/>
        <v>5.3641614277266832E-2</v>
      </c>
      <c r="L26" s="14">
        <f t="shared" ref="L26:L32" si="24">+SQRT(2*H26*J26/K26)</f>
        <v>3153.6735922029197</v>
      </c>
      <c r="M26" s="120">
        <v>0.95</v>
      </c>
      <c r="N26" s="1360">
        <v>1.645</v>
      </c>
      <c r="O26" s="392">
        <f t="shared" ref="O26:O27" si="25">19599*D26</f>
        <v>11494.8135</v>
      </c>
      <c r="P26" s="392">
        <f t="shared" ref="P26:P27" si="26">18560*D26</f>
        <v>10885.44</v>
      </c>
      <c r="Q26" s="392">
        <f t="shared" si="18"/>
        <v>609.37349999999969</v>
      </c>
      <c r="R26" s="392">
        <f t="shared" ref="R26:R32" si="27">+I26*G26+Q26</f>
        <v>15239.404860000004</v>
      </c>
      <c r="S26" s="1360">
        <f>ROUNDUP(ROUNDUP(R26/1000+L26/1000,0)/2,0)</f>
        <v>10</v>
      </c>
      <c r="T26" s="1714"/>
      <c r="U26" s="1214">
        <f t="shared" ref="U26" si="28">+S26/2+Q26/1000</f>
        <v>5.6093734999999993</v>
      </c>
    </row>
    <row r="27" spans="2:21">
      <c r="B27" s="1526"/>
      <c r="C27" s="55" t="s">
        <v>1118</v>
      </c>
      <c r="D27" s="1360">
        <v>5.1000000000000004E-2</v>
      </c>
      <c r="E27" s="1213">
        <f t="shared" si="19"/>
        <v>0.25786512718204491</v>
      </c>
      <c r="F27" s="1360">
        <v>28</v>
      </c>
      <c r="G27" s="1360">
        <f t="shared" si="20"/>
        <v>29</v>
      </c>
      <c r="H27" s="3">
        <f t="shared" si="21"/>
        <v>11358.720000000003</v>
      </c>
      <c r="I27" s="3">
        <f t="shared" si="22"/>
        <v>45.434880000000014</v>
      </c>
      <c r="J27" s="193">
        <f t="shared" si="23"/>
        <v>0.17757435730108923</v>
      </c>
      <c r="K27" s="193">
        <f t="shared" si="23"/>
        <v>5.5017040284376241E-2</v>
      </c>
      <c r="L27" s="14">
        <f t="shared" si="24"/>
        <v>270.78288372279621</v>
      </c>
      <c r="M27" s="120">
        <v>0.95</v>
      </c>
      <c r="N27" s="1360">
        <v>1.645</v>
      </c>
      <c r="O27" s="392">
        <f t="shared" si="25"/>
        <v>999.54900000000009</v>
      </c>
      <c r="P27" s="392">
        <f t="shared" si="26"/>
        <v>946.56000000000006</v>
      </c>
      <c r="Q27" s="392">
        <f t="shared" si="18"/>
        <v>52.989000000000033</v>
      </c>
      <c r="R27" s="392">
        <f t="shared" si="27"/>
        <v>1370.6005200000004</v>
      </c>
      <c r="S27" s="1360">
        <f>ROUNDUP(ROUNDUP(R27/975+L27/975,0)/2,0)</f>
        <v>1</v>
      </c>
      <c r="T27" s="1714"/>
      <c r="U27" s="1214">
        <f>+S27/2+Q27/975</f>
        <v>0.55434769230769232</v>
      </c>
    </row>
    <row r="28" spans="2:21">
      <c r="B28" s="1526"/>
      <c r="C28" s="55" t="s">
        <v>1119</v>
      </c>
      <c r="D28" s="1360">
        <v>4.0000000000000001E-3</v>
      </c>
      <c r="E28" s="1213">
        <f t="shared" si="19"/>
        <v>3.3131761795511222E-2</v>
      </c>
      <c r="F28" s="1360">
        <v>35</v>
      </c>
      <c r="G28" s="1360">
        <f t="shared" si="20"/>
        <v>36</v>
      </c>
      <c r="H28" s="3">
        <f t="shared" si="21"/>
        <v>890.88000000000022</v>
      </c>
      <c r="I28" s="3">
        <f t="shared" si="22"/>
        <v>3.5635200000000009</v>
      </c>
      <c r="J28" s="193">
        <f t="shared" si="23"/>
        <v>3.5514871460217839E-2</v>
      </c>
      <c r="K28" s="193">
        <f t="shared" si="23"/>
        <v>5.3641614277266836</v>
      </c>
      <c r="L28" s="14">
        <f t="shared" si="24"/>
        <v>3.4346208862456171</v>
      </c>
      <c r="M28" s="120">
        <v>0.9</v>
      </c>
      <c r="N28" s="1360">
        <v>1.28</v>
      </c>
      <c r="O28" s="392">
        <v>19599</v>
      </c>
      <c r="P28" s="392">
        <v>18560</v>
      </c>
      <c r="Q28" s="392">
        <v>128</v>
      </c>
      <c r="R28" s="392">
        <f t="shared" si="27"/>
        <v>256.28672000000006</v>
      </c>
      <c r="S28" s="1360">
        <v>15</v>
      </c>
      <c r="T28" s="1714"/>
      <c r="U28" s="1214">
        <v>8</v>
      </c>
    </row>
    <row r="29" spans="2:21">
      <c r="B29" s="1526"/>
      <c r="C29" s="55" t="s">
        <v>1120</v>
      </c>
      <c r="D29" s="1360">
        <v>4.0000000000000001E-3</v>
      </c>
      <c r="E29" s="1213">
        <f t="shared" si="19"/>
        <v>5.2769102874812967E-3</v>
      </c>
      <c r="F29" s="1360">
        <v>22</v>
      </c>
      <c r="G29" s="1360">
        <f t="shared" si="20"/>
        <v>23</v>
      </c>
      <c r="H29" s="3">
        <f t="shared" si="21"/>
        <v>890.88000000000022</v>
      </c>
      <c r="I29" s="3">
        <f t="shared" si="22"/>
        <v>3.5635200000000009</v>
      </c>
      <c r="J29" s="193">
        <f t="shared" si="23"/>
        <v>3.5514871460217839E-2</v>
      </c>
      <c r="K29" s="193">
        <f t="shared" si="23"/>
        <v>0.15917392960613305</v>
      </c>
      <c r="L29" s="14">
        <f t="shared" si="24"/>
        <v>19.938558506228752</v>
      </c>
      <c r="M29" s="120">
        <v>0.9</v>
      </c>
      <c r="N29" s="1360">
        <v>1.28</v>
      </c>
      <c r="O29" s="392">
        <v>19599</v>
      </c>
      <c r="P29" s="392">
        <v>18560</v>
      </c>
      <c r="Q29" s="392">
        <f t="shared" si="18"/>
        <v>1039</v>
      </c>
      <c r="R29" s="392">
        <f t="shared" si="27"/>
        <v>1120.9609600000001</v>
      </c>
      <c r="S29" s="1360">
        <f>+ROUNDUP(ROUNDUP(R29/337+L29/337,0)/2,0)</f>
        <v>2</v>
      </c>
      <c r="T29" s="1714"/>
      <c r="U29" s="1214">
        <f>+S29/2+Q29/337</f>
        <v>4.0830860534124636</v>
      </c>
    </row>
    <row r="30" spans="2:21">
      <c r="B30" s="1526"/>
      <c r="C30" s="55" t="s">
        <v>1121</v>
      </c>
      <c r="D30" s="1360">
        <v>9.1999999999999998E-2</v>
      </c>
      <c r="E30" s="1213">
        <f t="shared" si="19"/>
        <v>2.5868300243391523E-3</v>
      </c>
      <c r="F30" s="1360">
        <v>22</v>
      </c>
      <c r="G30" s="1360">
        <f t="shared" si="20"/>
        <v>23</v>
      </c>
      <c r="H30" s="3">
        <f t="shared" si="21"/>
        <v>20490.240000000005</v>
      </c>
      <c r="I30" s="3">
        <f t="shared" si="22"/>
        <v>81.960960000000014</v>
      </c>
      <c r="J30" s="193">
        <f t="shared" si="23"/>
        <v>0.81684204358501022</v>
      </c>
      <c r="K30" s="193">
        <f t="shared" si="23"/>
        <v>6.210532843660773E-2</v>
      </c>
      <c r="L30" s="14">
        <f t="shared" si="24"/>
        <v>734.16407731777394</v>
      </c>
      <c r="M30" s="120">
        <v>0.9</v>
      </c>
      <c r="N30" s="1360">
        <v>1.28</v>
      </c>
      <c r="O30" s="392">
        <v>19599</v>
      </c>
      <c r="P30" s="392">
        <v>18560</v>
      </c>
      <c r="Q30" s="392">
        <f t="shared" si="18"/>
        <v>1039</v>
      </c>
      <c r="R30" s="392">
        <f t="shared" si="27"/>
        <v>2924.1020800000006</v>
      </c>
      <c r="S30" s="1360">
        <f>ROUNDUP(ROUNDUP(R30/750+L30/750,0)/2,0)</f>
        <v>3</v>
      </c>
      <c r="T30" s="1714"/>
      <c r="U30" s="1214">
        <f>+S30/2+Q30/1020</f>
        <v>2.5186274509803921</v>
      </c>
    </row>
    <row r="31" spans="2:21">
      <c r="B31" s="1526"/>
      <c r="C31" s="55" t="s">
        <v>1122</v>
      </c>
      <c r="D31" s="1360">
        <v>5.1999999999999998E-2</v>
      </c>
      <c r="E31" s="1213">
        <f t="shared" si="19"/>
        <v>1.3084480730532291E-3</v>
      </c>
      <c r="F31" s="1360">
        <v>22</v>
      </c>
      <c r="G31" s="1360">
        <f t="shared" si="20"/>
        <v>23</v>
      </c>
      <c r="H31" s="3">
        <f t="shared" si="21"/>
        <v>11581.440000000002</v>
      </c>
      <c r="I31" s="3">
        <f t="shared" si="22"/>
        <v>46.32576000000001</v>
      </c>
      <c r="J31" s="193">
        <f t="shared" si="23"/>
        <v>0.46169332898283205</v>
      </c>
      <c r="K31" s="193">
        <f t="shared" si="23"/>
        <v>6.210532843660773E-2</v>
      </c>
      <c r="L31" s="14">
        <f t="shared" si="24"/>
        <v>414.96230457091576</v>
      </c>
      <c r="M31" s="120">
        <v>0.9</v>
      </c>
      <c r="N31" s="1360">
        <v>1.28</v>
      </c>
      <c r="O31" s="392">
        <v>19599</v>
      </c>
      <c r="P31" s="392">
        <v>18560</v>
      </c>
      <c r="Q31" s="392">
        <f t="shared" si="18"/>
        <v>1039</v>
      </c>
      <c r="R31" s="392">
        <f t="shared" si="27"/>
        <v>2104.4924799999999</v>
      </c>
      <c r="S31" s="1360">
        <f>ROUNDUP(ROUNDUP(R31/750+L31/750,0)/2,0)</f>
        <v>2</v>
      </c>
      <c r="T31" s="1714"/>
      <c r="U31" s="1214">
        <f>+S31/2+Q31/748</f>
        <v>2.3890374331550799</v>
      </c>
    </row>
    <row r="32" spans="2:21" ht="15" thickBot="1">
      <c r="B32" s="1522"/>
      <c r="C32" s="684" t="s">
        <v>1123</v>
      </c>
      <c r="D32" s="1367">
        <v>1.6E-2</v>
      </c>
      <c r="E32" s="1215">
        <f t="shared" si="19"/>
        <v>8.2683541386533669E-3</v>
      </c>
      <c r="F32" s="1367">
        <v>22</v>
      </c>
      <c r="G32" s="1367">
        <f t="shared" si="20"/>
        <v>23</v>
      </c>
      <c r="H32" s="24">
        <f t="shared" si="21"/>
        <v>3563.5200000000009</v>
      </c>
      <c r="I32" s="24">
        <f t="shared" si="22"/>
        <v>14.254080000000004</v>
      </c>
      <c r="J32" s="178">
        <f t="shared" si="23"/>
        <v>0.14205948584087139</v>
      </c>
      <c r="K32" s="178">
        <f t="shared" si="23"/>
        <v>2.3840717456563035E-2</v>
      </c>
      <c r="L32" s="16">
        <f t="shared" si="24"/>
        <v>206.07725317473705</v>
      </c>
      <c r="M32" s="552">
        <v>0.9</v>
      </c>
      <c r="N32" s="1367">
        <v>1.28</v>
      </c>
      <c r="O32" s="129">
        <v>19599</v>
      </c>
      <c r="P32" s="129">
        <v>18560</v>
      </c>
      <c r="Q32" s="129">
        <f t="shared" si="18"/>
        <v>1039</v>
      </c>
      <c r="R32" s="129">
        <f t="shared" si="27"/>
        <v>1366.84384</v>
      </c>
      <c r="S32" s="1367">
        <f>ROUNDUP(ROUNDUP(R32/2250+L32/2250,0)/2,0)</f>
        <v>1</v>
      </c>
      <c r="T32" s="1715"/>
      <c r="U32" s="1216">
        <f>+S32/2+Q32/2250</f>
        <v>0.96177777777777784</v>
      </c>
    </row>
    <row r="33" spans="2:21" ht="15" thickBot="1"/>
    <row r="34" spans="2:21" ht="87" thickBot="1">
      <c r="B34" s="484" t="s">
        <v>1126</v>
      </c>
      <c r="C34" s="773" t="s">
        <v>1097</v>
      </c>
      <c r="D34" s="773" t="s">
        <v>1098</v>
      </c>
      <c r="E34" s="773" t="s">
        <v>726</v>
      </c>
      <c r="F34" s="773" t="s">
        <v>1100</v>
      </c>
      <c r="G34" s="773" t="s">
        <v>1101</v>
      </c>
      <c r="H34" s="773" t="s">
        <v>1102</v>
      </c>
      <c r="I34" s="773" t="s">
        <v>1103</v>
      </c>
      <c r="J34" s="773" t="s">
        <v>1104</v>
      </c>
      <c r="K34" s="773" t="s">
        <v>1105</v>
      </c>
      <c r="L34" s="773" t="s">
        <v>1106</v>
      </c>
      <c r="M34" s="773" t="s">
        <v>1107</v>
      </c>
      <c r="N34" s="773" t="s">
        <v>1108</v>
      </c>
      <c r="O34" s="773" t="s">
        <v>1109</v>
      </c>
      <c r="P34" s="773" t="s">
        <v>1110</v>
      </c>
      <c r="Q34" s="773" t="s">
        <v>1111</v>
      </c>
      <c r="R34" s="773" t="s">
        <v>1112</v>
      </c>
      <c r="S34" s="773" t="s">
        <v>1113</v>
      </c>
      <c r="T34" s="773" t="s">
        <v>1114</v>
      </c>
      <c r="U34" s="1212" t="s">
        <v>1115</v>
      </c>
    </row>
    <row r="35" spans="2:21">
      <c r="B35" s="1713">
        <f>+'3.4 - Plan de fabricacion'!BB14</f>
        <v>230400.00000000006</v>
      </c>
      <c r="C35" s="258" t="s">
        <v>1116</v>
      </c>
      <c r="D35" s="258">
        <v>1.9125000000000001</v>
      </c>
      <c r="E35" s="1222">
        <f>+E25*1.022</f>
        <v>3.9710409106084792</v>
      </c>
      <c r="F35" s="258">
        <v>24</v>
      </c>
      <c r="G35" s="258">
        <f>+F35+1</f>
        <v>25</v>
      </c>
      <c r="H35" s="741">
        <f>+$B$35*D35</f>
        <v>440640.00000000012</v>
      </c>
      <c r="I35" s="741">
        <f>+H35/250</f>
        <v>1762.5600000000004</v>
      </c>
      <c r="J35" s="1231">
        <f>+J25*1.022</f>
        <v>6.8055372435642445</v>
      </c>
      <c r="K35" s="1231">
        <f>+K25*1.022</f>
        <v>5.4821729791366701E-2</v>
      </c>
      <c r="L35" s="1233">
        <f>+SQRT(2*H35*J35/K35)</f>
        <v>10459.521025461872</v>
      </c>
      <c r="M35" s="1223">
        <v>0.95</v>
      </c>
      <c r="N35" s="258">
        <v>1.645</v>
      </c>
      <c r="O35" s="515">
        <f>20275*D35</f>
        <v>38775.9375</v>
      </c>
      <c r="P35" s="515">
        <f>19200*D35</f>
        <v>36720</v>
      </c>
      <c r="Q35" s="515">
        <f t="shared" ref="Q35:Q42" si="29">+O35-P35</f>
        <v>2055.9375</v>
      </c>
      <c r="R35" s="515">
        <f>+I35*G35+Q35</f>
        <v>46119.937500000007</v>
      </c>
      <c r="S35" s="258">
        <f>+ROUNDUP(ROUNDUP(R35/1000+L35/1000,0)/2,0)</f>
        <v>29</v>
      </c>
      <c r="T35" s="1714">
        <f>+SUM(S35:S42)/75</f>
        <v>0.84</v>
      </c>
      <c r="U35" s="1224">
        <f>+S35/2+Q35/1000</f>
        <v>16.555937499999999</v>
      </c>
    </row>
    <row r="36" spans="2:21">
      <c r="B36" s="1526"/>
      <c r="C36" s="1307" t="s">
        <v>1117</v>
      </c>
      <c r="D36" s="1307">
        <v>0.58650000000000002</v>
      </c>
      <c r="E36" s="1225">
        <f t="shared" ref="E36:E42" si="30">+E26*1.022</f>
        <v>1.2857467805087284</v>
      </c>
      <c r="F36" s="1307">
        <v>27</v>
      </c>
      <c r="G36" s="1307">
        <f t="shared" ref="G36:G42" si="31">+F36+1</f>
        <v>28</v>
      </c>
      <c r="H36" s="612">
        <f t="shared" ref="H36:H42" si="32">+$B$35*D36</f>
        <v>135129.60000000003</v>
      </c>
      <c r="I36" s="612">
        <f t="shared" ref="I36:I42" si="33">+H36/250</f>
        <v>540.51840000000016</v>
      </c>
      <c r="J36" s="160">
        <f t="shared" ref="J36:K42" si="34">+J26*1.022</f>
        <v>2.0870314213597019</v>
      </c>
      <c r="K36" s="160">
        <f t="shared" si="34"/>
        <v>5.4821729791366701E-2</v>
      </c>
      <c r="L36" s="1234">
        <f t="shared" ref="L36:L42" si="35">+SQRT(2*H36*J36/K36)</f>
        <v>3207.5864478083076</v>
      </c>
      <c r="M36" s="1226">
        <v>0.95</v>
      </c>
      <c r="N36" s="1307">
        <v>1.645</v>
      </c>
      <c r="O36" s="514">
        <f t="shared" ref="O36:O37" si="36">20275*D36</f>
        <v>11891.2875</v>
      </c>
      <c r="P36" s="514">
        <f t="shared" ref="P36:P37" si="37">19200*D36</f>
        <v>11260.800000000001</v>
      </c>
      <c r="Q36" s="514">
        <f t="shared" si="29"/>
        <v>630.48749999999927</v>
      </c>
      <c r="R36" s="514">
        <f t="shared" ref="R36:R42" si="38">+I36*G36+Q36</f>
        <v>15765.002700000005</v>
      </c>
      <c r="S36" s="1307">
        <f>ROUNDUP(ROUNDUP(R36/1000+L36/1000,0)/2,0)</f>
        <v>10</v>
      </c>
      <c r="T36" s="1714"/>
      <c r="U36" s="1227">
        <f t="shared" ref="U36" si="39">+S36/2+Q36/1000</f>
        <v>5.6304874999999992</v>
      </c>
    </row>
    <row r="37" spans="2:21">
      <c r="B37" s="1526"/>
      <c r="C37" s="1307" t="s">
        <v>1118</v>
      </c>
      <c r="D37" s="1307">
        <v>5.1000000000000004E-2</v>
      </c>
      <c r="E37" s="1225">
        <f t="shared" si="30"/>
        <v>0.26353815998004992</v>
      </c>
      <c r="F37" s="1307">
        <v>28</v>
      </c>
      <c r="G37" s="1307">
        <f t="shared" si="31"/>
        <v>29</v>
      </c>
      <c r="H37" s="612">
        <f t="shared" si="32"/>
        <v>11750.400000000003</v>
      </c>
      <c r="I37" s="612">
        <f t="shared" si="33"/>
        <v>47.00160000000001</v>
      </c>
      <c r="J37" s="160">
        <f t="shared" si="34"/>
        <v>0.18148099316171318</v>
      </c>
      <c r="K37" s="160">
        <f t="shared" si="34"/>
        <v>5.6227415170632518E-2</v>
      </c>
      <c r="L37" s="1234">
        <f t="shared" si="35"/>
        <v>275.41198628643855</v>
      </c>
      <c r="M37" s="1226">
        <v>0.95</v>
      </c>
      <c r="N37" s="1307">
        <v>1.645</v>
      </c>
      <c r="O37" s="514">
        <f t="shared" si="36"/>
        <v>1034.0250000000001</v>
      </c>
      <c r="P37" s="514">
        <f t="shared" si="37"/>
        <v>979.2</v>
      </c>
      <c r="Q37" s="514">
        <f t="shared" si="29"/>
        <v>54.825000000000045</v>
      </c>
      <c r="R37" s="514">
        <f t="shared" si="38"/>
        <v>1417.8714000000004</v>
      </c>
      <c r="S37" s="1307">
        <f>ROUNDUP(R37/975+L37/975,0)/2</f>
        <v>1</v>
      </c>
      <c r="T37" s="1714"/>
      <c r="U37" s="1227">
        <f>+S37/2+Q37/975</f>
        <v>0.55623076923076931</v>
      </c>
    </row>
    <row r="38" spans="2:21">
      <c r="B38" s="1526"/>
      <c r="C38" s="1307" t="s">
        <v>1119</v>
      </c>
      <c r="D38" s="1307">
        <v>4.0000000000000001E-3</v>
      </c>
      <c r="E38" s="1225">
        <f t="shared" si="30"/>
        <v>3.3860660555012467E-2</v>
      </c>
      <c r="F38" s="1307">
        <v>35</v>
      </c>
      <c r="G38" s="1307">
        <f t="shared" si="31"/>
        <v>36</v>
      </c>
      <c r="H38" s="612">
        <f t="shared" si="32"/>
        <v>921.60000000000025</v>
      </c>
      <c r="I38" s="612">
        <f t="shared" si="33"/>
        <v>3.6864000000000008</v>
      </c>
      <c r="J38" s="160">
        <f t="shared" si="34"/>
        <v>3.6296198632342631E-2</v>
      </c>
      <c r="K38" s="160">
        <f t="shared" si="34"/>
        <v>5.4821729791366707</v>
      </c>
      <c r="L38" s="1234">
        <f t="shared" si="35"/>
        <v>3.4933366076053738</v>
      </c>
      <c r="M38" s="1226">
        <v>0.9</v>
      </c>
      <c r="N38" s="1307">
        <v>1.28</v>
      </c>
      <c r="O38" s="514">
        <v>20275</v>
      </c>
      <c r="P38" s="514">
        <v>19200</v>
      </c>
      <c r="Q38" s="514">
        <v>133</v>
      </c>
      <c r="R38" s="514">
        <f t="shared" si="38"/>
        <v>265.71040000000005</v>
      </c>
      <c r="S38" s="1307">
        <v>15</v>
      </c>
      <c r="T38" s="1714"/>
      <c r="U38" s="1227">
        <v>8</v>
      </c>
    </row>
    <row r="39" spans="2:21">
      <c r="B39" s="1526"/>
      <c r="C39" s="1307" t="s">
        <v>1120</v>
      </c>
      <c r="D39" s="1307">
        <v>4.0000000000000001E-3</v>
      </c>
      <c r="E39" s="1225">
        <f t="shared" si="30"/>
        <v>5.393002313805885E-3</v>
      </c>
      <c r="F39" s="1307">
        <v>22</v>
      </c>
      <c r="G39" s="1307">
        <f t="shared" si="31"/>
        <v>23</v>
      </c>
      <c r="H39" s="612">
        <f t="shared" si="32"/>
        <v>921.60000000000025</v>
      </c>
      <c r="I39" s="612">
        <f t="shared" si="33"/>
        <v>3.6864000000000008</v>
      </c>
      <c r="J39" s="160">
        <f t="shared" si="34"/>
        <v>3.6296198632342631E-2</v>
      </c>
      <c r="K39" s="160">
        <f t="shared" si="34"/>
        <v>0.16267575605746798</v>
      </c>
      <c r="L39" s="1234">
        <f t="shared" si="35"/>
        <v>20.27941325682297</v>
      </c>
      <c r="M39" s="1226">
        <v>0.9</v>
      </c>
      <c r="N39" s="1307">
        <v>1.28</v>
      </c>
      <c r="O39" s="514">
        <v>20275</v>
      </c>
      <c r="P39" s="514">
        <v>19200</v>
      </c>
      <c r="Q39" s="514">
        <f t="shared" si="29"/>
        <v>1075</v>
      </c>
      <c r="R39" s="514">
        <f t="shared" si="38"/>
        <v>1159.7872</v>
      </c>
      <c r="S39" s="1307">
        <f>ROUNDUP(R39/337+L39/337,0)/2</f>
        <v>2</v>
      </c>
      <c r="T39" s="1714"/>
      <c r="U39" s="1227">
        <f>+S39/2+Q39/337</f>
        <v>4.1899109792284861</v>
      </c>
    </row>
    <row r="40" spans="2:21">
      <c r="B40" s="1526"/>
      <c r="C40" s="1307" t="s">
        <v>1121</v>
      </c>
      <c r="D40" s="1307">
        <v>9.1999999999999998E-2</v>
      </c>
      <c r="E40" s="1225">
        <f t="shared" si="30"/>
        <v>2.6437402848746138E-3</v>
      </c>
      <c r="F40" s="1307">
        <v>22</v>
      </c>
      <c r="G40" s="1307">
        <f t="shared" si="31"/>
        <v>23</v>
      </c>
      <c r="H40" s="612">
        <f t="shared" si="32"/>
        <v>21196.800000000007</v>
      </c>
      <c r="I40" s="612">
        <f t="shared" si="33"/>
        <v>84.787200000000027</v>
      </c>
      <c r="J40" s="160">
        <f t="shared" si="34"/>
        <v>0.83481256854388042</v>
      </c>
      <c r="K40" s="160">
        <f t="shared" si="34"/>
        <v>6.3471645662213097E-2</v>
      </c>
      <c r="L40" s="1234">
        <f t="shared" si="35"/>
        <v>746.71479974794408</v>
      </c>
      <c r="M40" s="1226">
        <v>0.9</v>
      </c>
      <c r="N40" s="1307">
        <v>1.28</v>
      </c>
      <c r="O40" s="514">
        <v>20275</v>
      </c>
      <c r="P40" s="514">
        <v>19200</v>
      </c>
      <c r="Q40" s="514">
        <f t="shared" si="29"/>
        <v>1075</v>
      </c>
      <c r="R40" s="514">
        <f t="shared" si="38"/>
        <v>3025.1056000000008</v>
      </c>
      <c r="S40" s="1307">
        <f>ROUNDUP(ROUNDUP(R40/750+L40/750,0)/2,0)</f>
        <v>3</v>
      </c>
      <c r="T40" s="1714"/>
      <c r="U40" s="1227">
        <f>+S40/2+Q40/1020</f>
        <v>2.5539215686274508</v>
      </c>
    </row>
    <row r="41" spans="2:21">
      <c r="B41" s="1526"/>
      <c r="C41" s="1307" t="s">
        <v>1122</v>
      </c>
      <c r="D41" s="1307">
        <v>5.1999999999999998E-2</v>
      </c>
      <c r="E41" s="1225">
        <f t="shared" si="30"/>
        <v>1.3372339306604E-3</v>
      </c>
      <c r="F41" s="1307">
        <v>22</v>
      </c>
      <c r="G41" s="1307">
        <f t="shared" si="31"/>
        <v>23</v>
      </c>
      <c r="H41" s="612">
        <f t="shared" si="32"/>
        <v>11980.800000000003</v>
      </c>
      <c r="I41" s="612">
        <f t="shared" si="33"/>
        <v>47.923200000000008</v>
      </c>
      <c r="J41" s="160">
        <f t="shared" si="34"/>
        <v>0.47185058222045434</v>
      </c>
      <c r="K41" s="160">
        <f t="shared" si="34"/>
        <v>6.3471645662213097E-2</v>
      </c>
      <c r="L41" s="1234">
        <f t="shared" si="35"/>
        <v>422.05619116188149</v>
      </c>
      <c r="M41" s="1226">
        <v>0.9</v>
      </c>
      <c r="N41" s="1307">
        <v>1.28</v>
      </c>
      <c r="O41" s="514">
        <v>20275</v>
      </c>
      <c r="P41" s="514">
        <v>19200</v>
      </c>
      <c r="Q41" s="514">
        <f t="shared" si="29"/>
        <v>1075</v>
      </c>
      <c r="R41" s="514">
        <f t="shared" si="38"/>
        <v>2177.2336000000005</v>
      </c>
      <c r="S41" s="1307">
        <f>ROUNDUP(R41/750+L41/750,0)/2</f>
        <v>2</v>
      </c>
      <c r="T41" s="1714"/>
      <c r="U41" s="1227">
        <f>+S41/2+Q41/748</f>
        <v>2.4371657754010698</v>
      </c>
    </row>
    <row r="42" spans="2:21" ht="15" thickBot="1">
      <c r="B42" s="1522"/>
      <c r="C42" s="1308" t="s">
        <v>1123</v>
      </c>
      <c r="D42" s="1308">
        <v>1.6E-2</v>
      </c>
      <c r="E42" s="1228">
        <f t="shared" si="30"/>
        <v>8.4502579297037403E-3</v>
      </c>
      <c r="F42" s="1308">
        <v>22</v>
      </c>
      <c r="G42" s="1308">
        <f t="shared" si="31"/>
        <v>23</v>
      </c>
      <c r="H42" s="1236">
        <f t="shared" si="32"/>
        <v>3686.400000000001</v>
      </c>
      <c r="I42" s="1236">
        <f t="shared" si="33"/>
        <v>14.745600000000003</v>
      </c>
      <c r="J42" s="1232">
        <f t="shared" si="34"/>
        <v>0.14518479452937055</v>
      </c>
      <c r="K42" s="1232">
        <f t="shared" si="34"/>
        <v>2.4365213240607423E-2</v>
      </c>
      <c r="L42" s="1235">
        <f t="shared" si="35"/>
        <v>209.60019645632246</v>
      </c>
      <c r="M42" s="1229">
        <v>0.9</v>
      </c>
      <c r="N42" s="1308">
        <v>1.28</v>
      </c>
      <c r="O42" s="1237">
        <v>20275</v>
      </c>
      <c r="P42" s="1237">
        <v>19200</v>
      </c>
      <c r="Q42" s="1237">
        <f t="shared" si="29"/>
        <v>1075</v>
      </c>
      <c r="R42" s="1237">
        <f t="shared" si="38"/>
        <v>1414.1487999999999</v>
      </c>
      <c r="S42" s="1308">
        <f>+ROUNDUP(ROUNDUP(R42/2250+L42/2250,0)/2,0)</f>
        <v>1</v>
      </c>
      <c r="T42" s="1715"/>
      <c r="U42" s="1230">
        <f>+S42/2+Q42/2250</f>
        <v>0.97777777777777786</v>
      </c>
    </row>
    <row r="43" spans="2:21" ht="15" thickBot="1"/>
    <row r="44" spans="2:21" ht="87" thickBot="1">
      <c r="B44" s="484" t="s">
        <v>1127</v>
      </c>
      <c r="C44" s="773" t="s">
        <v>1097</v>
      </c>
      <c r="D44" s="773" t="s">
        <v>1098</v>
      </c>
      <c r="E44" s="773" t="s">
        <v>726</v>
      </c>
      <c r="F44" s="773" t="s">
        <v>1100</v>
      </c>
      <c r="G44" s="773" t="s">
        <v>1101</v>
      </c>
      <c r="H44" s="773" t="s">
        <v>1102</v>
      </c>
      <c r="I44" s="773" t="s">
        <v>1103</v>
      </c>
      <c r="J44" s="773" t="s">
        <v>1104</v>
      </c>
      <c r="K44" s="773" t="s">
        <v>1105</v>
      </c>
      <c r="L44" s="773" t="s">
        <v>1106</v>
      </c>
      <c r="M44" s="773" t="s">
        <v>1107</v>
      </c>
      <c r="N44" s="773" t="s">
        <v>1108</v>
      </c>
      <c r="O44" s="773" t="s">
        <v>1109</v>
      </c>
      <c r="P44" s="773" t="s">
        <v>1110</v>
      </c>
      <c r="Q44" s="773" t="s">
        <v>1111</v>
      </c>
      <c r="R44" s="773" t="s">
        <v>1112</v>
      </c>
      <c r="S44" s="773" t="s">
        <v>1113</v>
      </c>
      <c r="T44" s="773" t="s">
        <v>1114</v>
      </c>
      <c r="U44" s="1212" t="s">
        <v>1115</v>
      </c>
    </row>
    <row r="45" spans="2:21">
      <c r="B45" s="1713">
        <f>+'3.4 - Plan de fabricacion'!BO14</f>
        <v>345600</v>
      </c>
      <c r="C45" s="1217" t="s">
        <v>1116</v>
      </c>
      <c r="D45" s="258">
        <v>1.9125000000000001</v>
      </c>
      <c r="E45" s="1222">
        <f>+E35*1.022</f>
        <v>4.0584038106418658</v>
      </c>
      <c r="F45" s="258">
        <v>24</v>
      </c>
      <c r="G45" s="258">
        <f>+F45+1</f>
        <v>25</v>
      </c>
      <c r="H45" s="741">
        <f>+$B$45*D45</f>
        <v>660960</v>
      </c>
      <c r="I45" s="741">
        <f>+H45/250</f>
        <v>2643.84</v>
      </c>
      <c r="J45" s="1231">
        <f>+J35*1.022</f>
        <v>6.9552590629226581</v>
      </c>
      <c r="K45" s="1231">
        <f>+K35*1.022</f>
        <v>5.6027807846776773E-2</v>
      </c>
      <c r="L45" s="1233">
        <f>+SQRT(2*H45*J45/K45)</f>
        <v>12810.244733146919</v>
      </c>
      <c r="M45" s="1223">
        <v>0.95</v>
      </c>
      <c r="N45" s="258">
        <v>1.645</v>
      </c>
      <c r="O45" s="515">
        <f>30413*D45</f>
        <v>58164.862500000003</v>
      </c>
      <c r="P45" s="515">
        <f>28800*D45</f>
        <v>55080</v>
      </c>
      <c r="Q45" s="515">
        <f t="shared" ref="Q45:Q52" si="40">+O45-P45</f>
        <v>3084.8625000000029</v>
      </c>
      <c r="R45" s="515">
        <f>+I45*G45+Q45</f>
        <v>69180.862500000003</v>
      </c>
      <c r="S45" s="258">
        <f>ROUNDUP(R45/1000+L45/1000,0)/2</f>
        <v>41</v>
      </c>
      <c r="T45" s="1714">
        <f>+SUM(S45:S52)/75</f>
        <v>0.96666666666666667</v>
      </c>
      <c r="U45" s="1224">
        <f>+S45/2+Q45/1000</f>
        <v>23.584862500000003</v>
      </c>
    </row>
    <row r="46" spans="2:21">
      <c r="B46" s="1526"/>
      <c r="C46" s="55" t="s">
        <v>1117</v>
      </c>
      <c r="D46" s="1307">
        <v>0.58650000000000002</v>
      </c>
      <c r="E46" s="1225">
        <f t="shared" ref="E46:E52" si="41">+E36*1.022</f>
        <v>1.3140332096799203</v>
      </c>
      <c r="F46" s="1307">
        <v>27</v>
      </c>
      <c r="G46" s="1307">
        <f t="shared" ref="G46:G52" si="42">+F46+1</f>
        <v>28</v>
      </c>
      <c r="H46" s="612">
        <f t="shared" ref="H46:H52" si="43">+$B$45*D46</f>
        <v>202694.39999999999</v>
      </c>
      <c r="I46" s="612">
        <f t="shared" ref="I46:I52" si="44">+H46/250</f>
        <v>810.77760000000001</v>
      </c>
      <c r="J46" s="160">
        <f t="shared" ref="J46:K52" si="45">+J36*1.022</f>
        <v>2.1329461126296154</v>
      </c>
      <c r="K46" s="160">
        <f t="shared" si="45"/>
        <v>5.6027807846776773E-2</v>
      </c>
      <c r="L46" s="1234">
        <f t="shared" ref="L46:L52" si="46">+SQRT(2*H46*J46/K46)</f>
        <v>3928.4750514983893</v>
      </c>
      <c r="M46" s="1226">
        <v>0.95</v>
      </c>
      <c r="N46" s="1307">
        <v>1.645</v>
      </c>
      <c r="O46" s="514">
        <f t="shared" ref="O46:O47" si="47">30413*D46</f>
        <v>17837.2245</v>
      </c>
      <c r="P46" s="514">
        <f t="shared" ref="P46:P47" si="48">28800*D46</f>
        <v>16891.2</v>
      </c>
      <c r="Q46" s="514">
        <f t="shared" si="40"/>
        <v>946.02449999999953</v>
      </c>
      <c r="R46" s="514">
        <f t="shared" ref="R46:R52" si="49">+I46*G46+Q46</f>
        <v>23647.797299999998</v>
      </c>
      <c r="S46" s="1307">
        <f>ROUNDUP(R46/1000+L46/1000,0)/2</f>
        <v>14</v>
      </c>
      <c r="T46" s="1714"/>
      <c r="U46" s="1227">
        <f t="shared" ref="U46" si="50">+S46/2+Q46/1000</f>
        <v>7.9460244999999992</v>
      </c>
    </row>
    <row r="47" spans="2:21">
      <c r="B47" s="1526"/>
      <c r="C47" s="55" t="s">
        <v>1118</v>
      </c>
      <c r="D47" s="1307">
        <v>5.1000000000000004E-2</v>
      </c>
      <c r="E47" s="1225">
        <f t="shared" si="41"/>
        <v>0.26933599949961101</v>
      </c>
      <c r="F47" s="1307">
        <v>28</v>
      </c>
      <c r="G47" s="1307">
        <f t="shared" si="42"/>
        <v>29</v>
      </c>
      <c r="H47" s="612">
        <f t="shared" si="43"/>
        <v>17625.600000000002</v>
      </c>
      <c r="I47" s="612">
        <f t="shared" si="44"/>
        <v>70.502400000000009</v>
      </c>
      <c r="J47" s="160">
        <f t="shared" si="45"/>
        <v>0.18547357501127087</v>
      </c>
      <c r="K47" s="160">
        <f t="shared" si="45"/>
        <v>5.7464418304386436E-2</v>
      </c>
      <c r="L47" s="1234">
        <f t="shared" si="46"/>
        <v>337.30941772408625</v>
      </c>
      <c r="M47" s="1226">
        <v>0.95</v>
      </c>
      <c r="N47" s="1307">
        <v>1.645</v>
      </c>
      <c r="O47" s="514">
        <f t="shared" si="47"/>
        <v>1551.0630000000001</v>
      </c>
      <c r="P47" s="514">
        <f t="shared" si="48"/>
        <v>1468.8000000000002</v>
      </c>
      <c r="Q47" s="514">
        <f t="shared" si="40"/>
        <v>82.26299999999992</v>
      </c>
      <c r="R47" s="514">
        <f t="shared" si="49"/>
        <v>2126.8326000000002</v>
      </c>
      <c r="S47" s="1307">
        <f>ROUNDUP(R47/975+L47/975,0)/2</f>
        <v>1.5</v>
      </c>
      <c r="T47" s="1714"/>
      <c r="U47" s="1227">
        <f>+S47/2+Q47/975</f>
        <v>0.83437230769230764</v>
      </c>
    </row>
    <row r="48" spans="2:21">
      <c r="B48" s="1526"/>
      <c r="C48" s="55" t="s">
        <v>1119</v>
      </c>
      <c r="D48" s="1307">
        <v>4.0000000000000001E-3</v>
      </c>
      <c r="E48" s="1225">
        <f t="shared" si="41"/>
        <v>3.4605595087222739E-2</v>
      </c>
      <c r="F48" s="1307">
        <v>35</v>
      </c>
      <c r="G48" s="1307">
        <f t="shared" si="42"/>
        <v>36</v>
      </c>
      <c r="H48" s="612">
        <f t="shared" si="43"/>
        <v>1382.4</v>
      </c>
      <c r="I48" s="612">
        <f t="shared" si="44"/>
        <v>5.5296000000000003</v>
      </c>
      <c r="J48" s="160">
        <f t="shared" si="45"/>
        <v>3.7094715002254169E-2</v>
      </c>
      <c r="K48" s="160">
        <f t="shared" si="45"/>
        <v>5.6027807846776776</v>
      </c>
      <c r="L48" s="1234">
        <f t="shared" si="46"/>
        <v>4.2784460942091735</v>
      </c>
      <c r="M48" s="1226">
        <v>0.9</v>
      </c>
      <c r="N48" s="1307">
        <v>1.28</v>
      </c>
      <c r="O48" s="514">
        <v>30413</v>
      </c>
      <c r="P48" s="514">
        <v>28800</v>
      </c>
      <c r="Q48" s="514">
        <v>199</v>
      </c>
      <c r="R48" s="514">
        <f t="shared" si="49"/>
        <v>398.06560000000002</v>
      </c>
      <c r="S48" s="1307">
        <v>5</v>
      </c>
      <c r="T48" s="1714"/>
      <c r="U48" s="1227">
        <v>3</v>
      </c>
    </row>
    <row r="49" spans="2:21">
      <c r="B49" s="1526"/>
      <c r="C49" s="55" t="s">
        <v>1120</v>
      </c>
      <c r="D49" s="1307">
        <v>4.0000000000000001E-3</v>
      </c>
      <c r="E49" s="1225">
        <f t="shared" si="41"/>
        <v>5.5116483647096141E-3</v>
      </c>
      <c r="F49" s="1307">
        <v>22</v>
      </c>
      <c r="G49" s="1307">
        <f t="shared" si="42"/>
        <v>23</v>
      </c>
      <c r="H49" s="612">
        <f t="shared" si="43"/>
        <v>1382.4</v>
      </c>
      <c r="I49" s="612">
        <f t="shared" si="44"/>
        <v>5.5296000000000003</v>
      </c>
      <c r="J49" s="160">
        <f t="shared" si="45"/>
        <v>3.7094715002254169E-2</v>
      </c>
      <c r="K49" s="160">
        <f t="shared" si="45"/>
        <v>0.16625462269073227</v>
      </c>
      <c r="L49" s="1234">
        <f t="shared" si="46"/>
        <v>24.837107381124532</v>
      </c>
      <c r="M49" s="1226">
        <v>0.9</v>
      </c>
      <c r="N49" s="1307">
        <v>1.28</v>
      </c>
      <c r="O49" s="514">
        <v>30413</v>
      </c>
      <c r="P49" s="514">
        <v>28800</v>
      </c>
      <c r="Q49" s="514">
        <f t="shared" si="40"/>
        <v>1613</v>
      </c>
      <c r="R49" s="514">
        <f t="shared" si="49"/>
        <v>1740.1808000000001</v>
      </c>
      <c r="S49" s="1307">
        <f>ROUNDUP(R49/337+L49/337,0)/2</f>
        <v>3</v>
      </c>
      <c r="T49" s="1714"/>
      <c r="U49" s="1227">
        <f>+S49/2+Q49/337</f>
        <v>6.2863501483679523</v>
      </c>
    </row>
    <row r="50" spans="2:21">
      <c r="B50" s="1526"/>
      <c r="C50" s="55" t="s">
        <v>1121</v>
      </c>
      <c r="D50" s="1307">
        <v>9.1999999999999998E-2</v>
      </c>
      <c r="E50" s="1225">
        <f t="shared" si="41"/>
        <v>2.7019025711418555E-3</v>
      </c>
      <c r="F50" s="1307">
        <v>22</v>
      </c>
      <c r="G50" s="1307">
        <f t="shared" si="42"/>
        <v>23</v>
      </c>
      <c r="H50" s="612">
        <f t="shared" si="43"/>
        <v>31795.200000000001</v>
      </c>
      <c r="I50" s="612">
        <f t="shared" si="44"/>
        <v>127.1808</v>
      </c>
      <c r="J50" s="160">
        <f t="shared" si="45"/>
        <v>0.85317844505184581</v>
      </c>
      <c r="K50" s="160">
        <f t="shared" si="45"/>
        <v>6.4868021866781783E-2</v>
      </c>
      <c r="L50" s="1234">
        <f t="shared" si="46"/>
        <v>914.53512138349174</v>
      </c>
      <c r="M50" s="1226">
        <v>0.9</v>
      </c>
      <c r="N50" s="1307">
        <v>1.28</v>
      </c>
      <c r="O50" s="514">
        <v>30413</v>
      </c>
      <c r="P50" s="514">
        <v>28800</v>
      </c>
      <c r="Q50" s="514">
        <f t="shared" si="40"/>
        <v>1613</v>
      </c>
      <c r="R50" s="514">
        <f t="shared" si="49"/>
        <v>4538.1584000000003</v>
      </c>
      <c r="S50" s="1307">
        <f>ROUNDUP(R50/750+L50/750,0)/2</f>
        <v>4</v>
      </c>
      <c r="T50" s="1714"/>
      <c r="U50" s="1227">
        <f>+S50/2+Q50/1020</f>
        <v>3.5813725490196076</v>
      </c>
    </row>
    <row r="51" spans="2:21">
      <c r="B51" s="1526"/>
      <c r="C51" s="55" t="s">
        <v>1122</v>
      </c>
      <c r="D51" s="1307">
        <v>5.1999999999999998E-2</v>
      </c>
      <c r="E51" s="1225">
        <f t="shared" si="41"/>
        <v>1.3666530771349289E-3</v>
      </c>
      <c r="F51" s="1307">
        <v>22</v>
      </c>
      <c r="G51" s="1307">
        <f t="shared" si="42"/>
        <v>23</v>
      </c>
      <c r="H51" s="612">
        <f t="shared" si="43"/>
        <v>17971.2</v>
      </c>
      <c r="I51" s="612">
        <f t="shared" si="44"/>
        <v>71.884799999999998</v>
      </c>
      <c r="J51" s="160">
        <f t="shared" si="45"/>
        <v>0.48223129502930434</v>
      </c>
      <c r="K51" s="160">
        <f t="shared" si="45"/>
        <v>6.4868021866781783E-2</v>
      </c>
      <c r="L51" s="1234">
        <f t="shared" si="46"/>
        <v>516.91115556458237</v>
      </c>
      <c r="M51" s="1226">
        <v>0.9</v>
      </c>
      <c r="N51" s="1307">
        <v>1.28</v>
      </c>
      <c r="O51" s="514">
        <v>30413</v>
      </c>
      <c r="P51" s="514">
        <v>28800</v>
      </c>
      <c r="Q51" s="514">
        <f t="shared" si="40"/>
        <v>1613</v>
      </c>
      <c r="R51" s="514">
        <f t="shared" si="49"/>
        <v>3266.3504000000003</v>
      </c>
      <c r="S51" s="1307">
        <f>ROUNDUP(R51/750+L51/750,0)/2</f>
        <v>3</v>
      </c>
      <c r="T51" s="1714"/>
      <c r="U51" s="1227">
        <f>+S51/2+Q51/748</f>
        <v>3.6564171122994651</v>
      </c>
    </row>
    <row r="52" spans="2:21" ht="15" thickBot="1">
      <c r="B52" s="1522"/>
      <c r="C52" s="684" t="s">
        <v>1123</v>
      </c>
      <c r="D52" s="1308">
        <v>1.6E-2</v>
      </c>
      <c r="E52" s="1228">
        <f t="shared" si="41"/>
        <v>8.636163604157223E-3</v>
      </c>
      <c r="F52" s="1308">
        <v>22</v>
      </c>
      <c r="G52" s="1308">
        <f t="shared" si="42"/>
        <v>23</v>
      </c>
      <c r="H52" s="1236">
        <f t="shared" si="43"/>
        <v>5529.6</v>
      </c>
      <c r="I52" s="1236">
        <f t="shared" si="44"/>
        <v>22.118400000000001</v>
      </c>
      <c r="J52" s="1232">
        <f t="shared" si="45"/>
        <v>0.14837886000901671</v>
      </c>
      <c r="K52" s="1232">
        <f t="shared" si="45"/>
        <v>2.4901247931900787E-2</v>
      </c>
      <c r="L52" s="1235">
        <f t="shared" si="46"/>
        <v>256.70676565255042</v>
      </c>
      <c r="M52" s="1229">
        <v>0.9</v>
      </c>
      <c r="N52" s="1308">
        <v>1.28</v>
      </c>
      <c r="O52" s="1237">
        <v>30413</v>
      </c>
      <c r="P52" s="1237">
        <v>28800</v>
      </c>
      <c r="Q52" s="1237">
        <f t="shared" si="40"/>
        <v>1613</v>
      </c>
      <c r="R52" s="1237">
        <f t="shared" si="49"/>
        <v>2121.7231999999999</v>
      </c>
      <c r="S52" s="1308">
        <f>ROUNDUP(R52/2250+L52/2250,0)/2</f>
        <v>1</v>
      </c>
      <c r="T52" s="1715"/>
      <c r="U52" s="1230">
        <f>+S52/2+Q52/2250</f>
        <v>1.2168888888888889</v>
      </c>
    </row>
    <row r="53" spans="2:21" ht="15" thickBot="1"/>
    <row r="54" spans="2:21" ht="58.15" thickBot="1">
      <c r="B54" s="484" t="s">
        <v>50</v>
      </c>
      <c r="C54" s="773" t="s">
        <v>1097</v>
      </c>
      <c r="D54" s="773" t="s">
        <v>1128</v>
      </c>
      <c r="E54" s="773" t="s">
        <v>1129</v>
      </c>
      <c r="F54" s="773" t="s">
        <v>1113</v>
      </c>
      <c r="G54" s="1212" t="s">
        <v>1114</v>
      </c>
    </row>
    <row r="55" spans="2:21">
      <c r="B55" s="1726">
        <v>2024</v>
      </c>
      <c r="C55" s="1221" t="s">
        <v>1116</v>
      </c>
      <c r="D55" s="25">
        <v>659.8125</v>
      </c>
      <c r="E55" s="25">
        <v>9154.3724999999995</v>
      </c>
      <c r="F55" s="1329">
        <v>14</v>
      </c>
      <c r="G55" s="1719">
        <v>0.57333333333333336</v>
      </c>
    </row>
    <row r="56" spans="2:21">
      <c r="B56" s="1717"/>
      <c r="C56" s="55" t="s">
        <v>1117</v>
      </c>
      <c r="D56" s="3">
        <v>202.34249999999975</v>
      </c>
      <c r="E56" s="3">
        <v>3119.9407080000001</v>
      </c>
      <c r="F56" s="1307">
        <v>5</v>
      </c>
      <c r="G56" s="1720"/>
    </row>
    <row r="57" spans="2:21">
      <c r="B57" s="1717"/>
      <c r="C57" s="55" t="s">
        <v>1118</v>
      </c>
      <c r="D57" s="3">
        <v>17.594999999999999</v>
      </c>
      <c r="E57" s="3">
        <v>280.3600560000001</v>
      </c>
      <c r="F57" s="1307">
        <v>1</v>
      </c>
      <c r="G57" s="1720"/>
    </row>
    <row r="58" spans="2:21">
      <c r="B58" s="1717"/>
      <c r="C58" s="55" t="s">
        <v>1119</v>
      </c>
      <c r="D58" s="3">
        <v>4</v>
      </c>
      <c r="E58" s="3">
        <v>29</v>
      </c>
      <c r="F58" s="1307">
        <v>17</v>
      </c>
      <c r="G58" s="1720"/>
    </row>
    <row r="59" spans="2:21">
      <c r="B59" s="1717"/>
      <c r="C59" s="55" t="s">
        <v>1120</v>
      </c>
      <c r="D59" s="3">
        <v>345</v>
      </c>
      <c r="E59" s="3">
        <v>361.34508799999998</v>
      </c>
      <c r="F59" s="1307">
        <v>2</v>
      </c>
      <c r="G59" s="1720"/>
    </row>
    <row r="60" spans="2:21">
      <c r="B60" s="1717"/>
      <c r="C60" s="55" t="s">
        <v>1121</v>
      </c>
      <c r="D60" s="3">
        <v>345</v>
      </c>
      <c r="E60" s="3">
        <v>720.93702400000006</v>
      </c>
      <c r="F60" s="1307">
        <v>2</v>
      </c>
      <c r="G60" s="1720"/>
    </row>
    <row r="61" spans="2:21">
      <c r="B61" s="1717"/>
      <c r="C61" s="55" t="s">
        <v>1122</v>
      </c>
      <c r="D61" s="3">
        <v>345</v>
      </c>
      <c r="E61" s="3">
        <v>557.48614399999997</v>
      </c>
      <c r="F61" s="1307">
        <v>1</v>
      </c>
      <c r="G61" s="1720"/>
    </row>
    <row r="62" spans="2:21" ht="15" thickBot="1">
      <c r="B62" s="1718"/>
      <c r="C62" s="684" t="s">
        <v>1123</v>
      </c>
      <c r="D62" s="24">
        <v>345</v>
      </c>
      <c r="E62" s="24">
        <v>410.38035200000002</v>
      </c>
      <c r="F62" s="1308">
        <v>1</v>
      </c>
      <c r="G62" s="1721"/>
    </row>
    <row r="63" spans="2:21">
      <c r="B63" s="1726">
        <v>2025</v>
      </c>
      <c r="C63" s="1221" t="s">
        <v>1116</v>
      </c>
      <c r="D63" s="25">
        <v>994.5</v>
      </c>
      <c r="E63" s="25">
        <v>22292.100000000006</v>
      </c>
      <c r="F63" s="1329">
        <v>30</v>
      </c>
      <c r="G63" s="1722">
        <f>+T15</f>
        <v>0.88</v>
      </c>
    </row>
    <row r="64" spans="2:21">
      <c r="B64" s="1717"/>
      <c r="C64" s="55" t="s">
        <v>1117</v>
      </c>
      <c r="D64" s="3">
        <v>304.97999999999956</v>
      </c>
      <c r="E64" s="3">
        <v>7619.9956800000018</v>
      </c>
      <c r="F64" s="1307">
        <v>10</v>
      </c>
      <c r="G64" s="1723"/>
    </row>
    <row r="65" spans="2:7">
      <c r="B65" s="1717"/>
      <c r="C65" s="55" t="s">
        <v>1118</v>
      </c>
      <c r="D65" s="3">
        <v>26.519999999999982</v>
      </c>
      <c r="E65" s="3">
        <v>685.32576000000017</v>
      </c>
      <c r="F65" s="1307">
        <v>1</v>
      </c>
      <c r="G65" s="1723"/>
    </row>
    <row r="66" spans="2:7">
      <c r="B66" s="1717"/>
      <c r="C66" s="55" t="s">
        <v>1119</v>
      </c>
      <c r="D66" s="3">
        <v>64</v>
      </c>
      <c r="E66" s="3">
        <v>128.14336000000003</v>
      </c>
      <c r="F66" s="1307">
        <v>10</v>
      </c>
      <c r="G66" s="1723"/>
    </row>
    <row r="67" spans="2:7">
      <c r="B67" s="1717"/>
      <c r="C67" s="55" t="s">
        <v>1120</v>
      </c>
      <c r="D67" s="3">
        <v>520</v>
      </c>
      <c r="E67" s="3">
        <v>560.98048000000006</v>
      </c>
      <c r="F67" s="1307">
        <v>2</v>
      </c>
      <c r="G67" s="1723"/>
    </row>
    <row r="68" spans="2:7">
      <c r="B68" s="1717"/>
      <c r="C68" s="55" t="s">
        <v>1121</v>
      </c>
      <c r="D68" s="3">
        <v>520</v>
      </c>
      <c r="E68" s="3">
        <v>1462.5510400000003</v>
      </c>
      <c r="F68" s="1307">
        <v>3</v>
      </c>
      <c r="G68" s="1723"/>
    </row>
    <row r="69" spans="2:7">
      <c r="B69" s="1717"/>
      <c r="C69" s="55" t="s">
        <v>1122</v>
      </c>
      <c r="D69" s="3">
        <v>520</v>
      </c>
      <c r="E69" s="3">
        <v>1052.7462399999999</v>
      </c>
      <c r="F69" s="1307">
        <v>2</v>
      </c>
      <c r="G69" s="1723"/>
    </row>
    <row r="70" spans="2:7" ht="15" thickBot="1">
      <c r="B70" s="1718"/>
      <c r="C70" s="684" t="s">
        <v>1123</v>
      </c>
      <c r="D70" s="24">
        <v>520</v>
      </c>
      <c r="E70" s="24">
        <v>683.92192</v>
      </c>
      <c r="F70" s="1308">
        <v>1</v>
      </c>
      <c r="G70" s="1724"/>
    </row>
    <row r="71" spans="2:7">
      <c r="B71" s="1726">
        <v>2026</v>
      </c>
      <c r="C71" s="1221" t="s">
        <v>1116</v>
      </c>
      <c r="D71" s="25">
        <v>1987.0875000000015</v>
      </c>
      <c r="E71" s="25">
        <v>44582.287500000013</v>
      </c>
      <c r="F71" s="1329">
        <v>28</v>
      </c>
      <c r="G71" s="1722">
        <f>+T25</f>
        <v>0.82666666666666666</v>
      </c>
    </row>
    <row r="72" spans="2:7">
      <c r="B72" s="1717"/>
      <c r="C72" s="55" t="s">
        <v>1117</v>
      </c>
      <c r="D72" s="3">
        <v>609.37349999999969</v>
      </c>
      <c r="E72" s="3">
        <v>15239.404860000004</v>
      </c>
      <c r="F72" s="1307">
        <v>10</v>
      </c>
      <c r="G72" s="1723"/>
    </row>
    <row r="73" spans="2:7">
      <c r="B73" s="1717"/>
      <c r="C73" s="55" t="s">
        <v>1118</v>
      </c>
      <c r="D73" s="3">
        <v>52.989000000000033</v>
      </c>
      <c r="E73" s="3">
        <v>1370.6005200000004</v>
      </c>
      <c r="F73" s="1307">
        <v>1</v>
      </c>
      <c r="G73" s="1723"/>
    </row>
    <row r="74" spans="2:7">
      <c r="B74" s="1717"/>
      <c r="C74" s="55" t="s">
        <v>1119</v>
      </c>
      <c r="D74" s="3">
        <v>128</v>
      </c>
      <c r="E74" s="3">
        <v>256.28672000000006</v>
      </c>
      <c r="F74" s="1307">
        <v>15</v>
      </c>
      <c r="G74" s="1723"/>
    </row>
    <row r="75" spans="2:7">
      <c r="B75" s="1717"/>
      <c r="C75" s="55" t="s">
        <v>1120</v>
      </c>
      <c r="D75" s="3">
        <v>1039</v>
      </c>
      <c r="E75" s="3">
        <v>1120.9609600000001</v>
      </c>
      <c r="F75" s="1307">
        <v>2</v>
      </c>
      <c r="G75" s="1723"/>
    </row>
    <row r="76" spans="2:7">
      <c r="B76" s="1717"/>
      <c r="C76" s="55" t="s">
        <v>1121</v>
      </c>
      <c r="D76" s="3">
        <v>1039</v>
      </c>
      <c r="E76" s="3">
        <v>2924.1020800000006</v>
      </c>
      <c r="F76" s="1307">
        <v>3</v>
      </c>
      <c r="G76" s="1723"/>
    </row>
    <row r="77" spans="2:7">
      <c r="B77" s="1717"/>
      <c r="C77" s="55" t="s">
        <v>1122</v>
      </c>
      <c r="D77" s="3">
        <v>1039</v>
      </c>
      <c r="E77" s="3">
        <v>2104.4924799999999</v>
      </c>
      <c r="F77" s="1307">
        <v>2</v>
      </c>
      <c r="G77" s="1723"/>
    </row>
    <row r="78" spans="2:7" ht="15" thickBot="1">
      <c r="B78" s="1718"/>
      <c r="C78" s="684" t="s">
        <v>1123</v>
      </c>
      <c r="D78" s="24">
        <v>1039</v>
      </c>
      <c r="E78" s="24">
        <v>1366.84384</v>
      </c>
      <c r="F78" s="1308">
        <v>1</v>
      </c>
      <c r="G78" s="1724"/>
    </row>
    <row r="79" spans="2:7">
      <c r="B79" s="1726">
        <v>2027</v>
      </c>
      <c r="C79" s="1221" t="s">
        <v>1116</v>
      </c>
      <c r="D79" s="25">
        <v>2055.9375</v>
      </c>
      <c r="E79" s="25">
        <v>46119.937500000007</v>
      </c>
      <c r="F79" s="1329">
        <v>29</v>
      </c>
      <c r="G79" s="1722">
        <f>+T35</f>
        <v>0.84</v>
      </c>
    </row>
    <row r="80" spans="2:7">
      <c r="B80" s="1717"/>
      <c r="C80" s="55" t="s">
        <v>1117</v>
      </c>
      <c r="D80" s="3">
        <v>630.48749999999927</v>
      </c>
      <c r="E80" s="3">
        <v>15765.002700000005</v>
      </c>
      <c r="F80" s="1307">
        <v>10</v>
      </c>
      <c r="G80" s="1723"/>
    </row>
    <row r="81" spans="2:7">
      <c r="B81" s="1717"/>
      <c r="C81" s="55" t="s">
        <v>1118</v>
      </c>
      <c r="D81" s="3">
        <v>54.825000000000045</v>
      </c>
      <c r="E81" s="3">
        <v>1417.8714000000004</v>
      </c>
      <c r="F81" s="1307">
        <v>1</v>
      </c>
      <c r="G81" s="1723"/>
    </row>
    <row r="82" spans="2:7">
      <c r="B82" s="1717"/>
      <c r="C82" s="55" t="s">
        <v>1119</v>
      </c>
      <c r="D82" s="3">
        <v>133</v>
      </c>
      <c r="E82" s="3">
        <v>265.71040000000005</v>
      </c>
      <c r="F82" s="1307">
        <v>15</v>
      </c>
      <c r="G82" s="1723"/>
    </row>
    <row r="83" spans="2:7">
      <c r="B83" s="1717"/>
      <c r="C83" s="55" t="s">
        <v>1120</v>
      </c>
      <c r="D83" s="3">
        <v>1075</v>
      </c>
      <c r="E83" s="3">
        <v>1159.7872</v>
      </c>
      <c r="F83" s="1307">
        <v>2</v>
      </c>
      <c r="G83" s="1723"/>
    </row>
    <row r="84" spans="2:7">
      <c r="B84" s="1717"/>
      <c r="C84" s="55" t="s">
        <v>1121</v>
      </c>
      <c r="D84" s="3">
        <v>1075</v>
      </c>
      <c r="E84" s="3">
        <v>3025.1056000000008</v>
      </c>
      <c r="F84" s="1307">
        <v>3</v>
      </c>
      <c r="G84" s="1723"/>
    </row>
    <row r="85" spans="2:7">
      <c r="B85" s="1717"/>
      <c r="C85" s="55" t="s">
        <v>1122</v>
      </c>
      <c r="D85" s="3">
        <v>1075</v>
      </c>
      <c r="E85" s="3">
        <v>2177.2336000000005</v>
      </c>
      <c r="F85" s="1307">
        <v>2</v>
      </c>
      <c r="G85" s="1723"/>
    </row>
    <row r="86" spans="2:7" ht="15" thickBot="1">
      <c r="B86" s="1718"/>
      <c r="C86" s="684" t="s">
        <v>1123</v>
      </c>
      <c r="D86" s="24">
        <v>1075</v>
      </c>
      <c r="E86" s="24">
        <v>1414.1487999999999</v>
      </c>
      <c r="F86" s="1308">
        <v>1</v>
      </c>
      <c r="G86" s="1724"/>
    </row>
    <row r="87" spans="2:7">
      <c r="B87" s="1716">
        <v>2028</v>
      </c>
      <c r="C87" s="1217" t="s">
        <v>1116</v>
      </c>
      <c r="D87" s="570">
        <v>3084.8625000000029</v>
      </c>
      <c r="E87" s="570">
        <v>69180.862500000003</v>
      </c>
      <c r="F87" s="258">
        <v>41</v>
      </c>
      <c r="G87" s="1725">
        <f>+T45</f>
        <v>0.96666666666666667</v>
      </c>
    </row>
    <row r="88" spans="2:7">
      <c r="B88" s="1717"/>
      <c r="C88" s="55" t="s">
        <v>1117</v>
      </c>
      <c r="D88" s="3">
        <v>946.02449999999953</v>
      </c>
      <c r="E88" s="3">
        <v>23647.797299999998</v>
      </c>
      <c r="F88" s="1307">
        <v>14</v>
      </c>
      <c r="G88" s="1723"/>
    </row>
    <row r="89" spans="2:7">
      <c r="B89" s="1717"/>
      <c r="C89" s="55" t="s">
        <v>1118</v>
      </c>
      <c r="D89" s="3">
        <v>82.26299999999992</v>
      </c>
      <c r="E89" s="3">
        <v>2126.8326000000002</v>
      </c>
      <c r="F89" s="1307">
        <v>1.5</v>
      </c>
      <c r="G89" s="1723"/>
    </row>
    <row r="90" spans="2:7">
      <c r="B90" s="1717"/>
      <c r="C90" s="55" t="s">
        <v>1119</v>
      </c>
      <c r="D90" s="3">
        <v>199</v>
      </c>
      <c r="E90" s="3">
        <v>398.06560000000002</v>
      </c>
      <c r="F90" s="1307">
        <v>5</v>
      </c>
      <c r="G90" s="1723"/>
    </row>
    <row r="91" spans="2:7">
      <c r="B91" s="1717"/>
      <c r="C91" s="55" t="s">
        <v>1120</v>
      </c>
      <c r="D91" s="3">
        <v>1613</v>
      </c>
      <c r="E91" s="3">
        <v>1740.1808000000001</v>
      </c>
      <c r="F91" s="1307">
        <v>3</v>
      </c>
      <c r="G91" s="1723"/>
    </row>
    <row r="92" spans="2:7">
      <c r="B92" s="1717"/>
      <c r="C92" s="55" t="s">
        <v>1121</v>
      </c>
      <c r="D92" s="3">
        <v>1613</v>
      </c>
      <c r="E92" s="3">
        <v>4538.1584000000003</v>
      </c>
      <c r="F92" s="1307">
        <v>4</v>
      </c>
      <c r="G92" s="1723"/>
    </row>
    <row r="93" spans="2:7">
      <c r="B93" s="1717"/>
      <c r="C93" s="55" t="s">
        <v>1122</v>
      </c>
      <c r="D93" s="3">
        <v>1613</v>
      </c>
      <c r="E93" s="3">
        <v>3266.3504000000003</v>
      </c>
      <c r="F93" s="1307">
        <v>3</v>
      </c>
      <c r="G93" s="1723"/>
    </row>
    <row r="94" spans="2:7" ht="15" thickBot="1">
      <c r="B94" s="1718"/>
      <c r="C94" s="684" t="s">
        <v>1123</v>
      </c>
      <c r="D94" s="24">
        <v>1613</v>
      </c>
      <c r="E94" s="24">
        <v>2121.7231999999999</v>
      </c>
      <c r="F94" s="1308">
        <v>1</v>
      </c>
      <c r="G94" s="1724"/>
    </row>
  </sheetData>
  <mergeCells count="20">
    <mergeCell ref="B87:B94"/>
    <mergeCell ref="G55:G62"/>
    <mergeCell ref="G63:G70"/>
    <mergeCell ref="G71:G78"/>
    <mergeCell ref="G79:G86"/>
    <mergeCell ref="G87:G94"/>
    <mergeCell ref="B63:B70"/>
    <mergeCell ref="B71:B78"/>
    <mergeCell ref="B79:B86"/>
    <mergeCell ref="B55:B62"/>
    <mergeCell ref="T5:T12"/>
    <mergeCell ref="T15:T22"/>
    <mergeCell ref="T25:T32"/>
    <mergeCell ref="T35:T42"/>
    <mergeCell ref="T45:T52"/>
    <mergeCell ref="B5:B12"/>
    <mergeCell ref="B15:B22"/>
    <mergeCell ref="B25:B32"/>
    <mergeCell ref="B35:B42"/>
    <mergeCell ref="B45:B52"/>
  </mergeCells>
  <hyperlinks>
    <hyperlink ref="C2" location="Indice!A1" display="INDICE" xr:uid="{08683239-E20B-4B1E-8D3F-EFCCF82B4516}"/>
  </hyperlink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A84D8-31F8-43D3-972A-F3E374B86460}">
  <sheetPr>
    <tabColor rgb="FF92D050"/>
  </sheetPr>
  <dimension ref="B2:L9"/>
  <sheetViews>
    <sheetView showGridLines="0" zoomScale="85" zoomScaleNormal="85" workbookViewId="0">
      <selection activeCell="C2" sqref="C2"/>
    </sheetView>
  </sheetViews>
  <sheetFormatPr defaultColWidth="11.42578125" defaultRowHeight="14.45"/>
  <cols>
    <col min="2" max="2" width="14" bestFit="1" customWidth="1"/>
    <col min="3" max="3" width="18.85546875" customWidth="1"/>
    <col min="4" max="4" width="0" hidden="1" customWidth="1"/>
    <col min="6" max="6" width="0" hidden="1" customWidth="1"/>
    <col min="7" max="7" width="14.5703125" hidden="1" customWidth="1"/>
    <col min="8" max="9" width="0" hidden="1" customWidth="1"/>
  </cols>
  <sheetData>
    <row r="2" spans="2:12">
      <c r="B2" s="1305" t="s">
        <v>126</v>
      </c>
      <c r="C2" s="337" t="s">
        <v>49</v>
      </c>
    </row>
    <row r="3" spans="2:12" ht="15" thickBot="1"/>
    <row r="4" spans="2:12" ht="58.15" thickBot="1">
      <c r="B4" s="484" t="s">
        <v>50</v>
      </c>
      <c r="C4" s="773" t="s">
        <v>1130</v>
      </c>
      <c r="D4" s="773" t="s">
        <v>1131</v>
      </c>
      <c r="E4" s="773" t="s">
        <v>90</v>
      </c>
      <c r="F4" s="773" t="s">
        <v>1132</v>
      </c>
      <c r="G4" s="773" t="s">
        <v>1133</v>
      </c>
      <c r="H4" s="773" t="s">
        <v>1134</v>
      </c>
      <c r="I4" s="773" t="s">
        <v>1135</v>
      </c>
      <c r="J4" s="773" t="s">
        <v>1111</v>
      </c>
      <c r="K4" s="773" t="s">
        <v>1136</v>
      </c>
      <c r="L4" s="1212" t="s">
        <v>1137</v>
      </c>
    </row>
    <row r="5" spans="2:12">
      <c r="B5" s="261">
        <v>2024</v>
      </c>
      <c r="C5" s="328">
        <f>+'3.4 - Plan de fabricacion'!O14</f>
        <v>44416</v>
      </c>
      <c r="D5" s="1210">
        <f>+'3.4 - Plan de fabricacion'!O13</f>
        <v>0.82499999999999984</v>
      </c>
      <c r="E5" s="328">
        <f>+'3.4 - Plan de fabricacion'!O11</f>
        <v>28460.279938539581</v>
      </c>
      <c r="F5" s="328">
        <f>+'3.4 - Plan de fabricacion'!O16</f>
        <v>15955.720061460423</v>
      </c>
      <c r="G5" s="822">
        <f>+'3.4 - Plan de fabricacion'!O17</f>
        <v>908329.41567487177</v>
      </c>
      <c r="H5" s="131">
        <v>4985</v>
      </c>
      <c r="I5" s="131">
        <v>2846</v>
      </c>
      <c r="J5" s="131">
        <f>+H5-I5</f>
        <v>2139</v>
      </c>
      <c r="K5" s="131">
        <v>12779</v>
      </c>
      <c r="L5" s="1211">
        <f>+K5/18000</f>
        <v>0.70994444444444449</v>
      </c>
    </row>
    <row r="6" spans="2:12">
      <c r="B6" s="1359">
        <v>2025</v>
      </c>
      <c r="C6" s="188">
        <f>+'3.4 - Plan de fabricacion'!AB14</f>
        <v>111360.00000000003</v>
      </c>
      <c r="D6" s="120">
        <f>+'3.4 - Plan de fabricacion'!AB13</f>
        <v>0.86999999999999977</v>
      </c>
      <c r="E6" s="188">
        <f>+'3.4 - Plan de fabricacion'!AB11</f>
        <v>119834.76293453228</v>
      </c>
      <c r="F6" s="188">
        <f>+'3.4 - Plan de fabricacion'!AB16</f>
        <v>7480.957126928135</v>
      </c>
      <c r="G6" s="487">
        <f>+'3.4 - Plan de fabricacion'!AB17</f>
        <v>1154026.4229921584</v>
      </c>
      <c r="H6" s="1360">
        <v>11728</v>
      </c>
      <c r="I6" s="1360">
        <v>9986</v>
      </c>
      <c r="J6" s="1360">
        <f t="shared" ref="J6:J9" si="0">+H6-I6</f>
        <v>1742</v>
      </c>
      <c r="K6" s="1360">
        <v>13530</v>
      </c>
      <c r="L6" s="1166">
        <f t="shared" ref="L6:L9" si="1">+K6/18000</f>
        <v>0.75166666666666671</v>
      </c>
    </row>
    <row r="7" spans="2:12">
      <c r="B7" s="1359">
        <v>2026</v>
      </c>
      <c r="C7" s="188">
        <f>+'3.4 - Plan de fabricacion'!AO14</f>
        <v>222720.00000000006</v>
      </c>
      <c r="D7" s="120">
        <f>+'3.4 - Plan de fabricacion'!AO13</f>
        <v>0.86999999999999977</v>
      </c>
      <c r="E7" s="188">
        <f>+'3.4 - Plan de fabricacion'!AO11</f>
        <v>189131.4571302851</v>
      </c>
      <c r="F7" s="188">
        <f>+'3.4 - Plan de fabricacion'!AO16</f>
        <v>41069.499996643004</v>
      </c>
      <c r="G7" s="487">
        <f>+'3.4 - Plan de fabricacion'!AO17</f>
        <v>2470072.4440927287</v>
      </c>
      <c r="H7" s="1360">
        <v>18504</v>
      </c>
      <c r="I7" s="1360">
        <v>15761</v>
      </c>
      <c r="J7" s="1360">
        <f t="shared" si="0"/>
        <v>2743</v>
      </c>
      <c r="K7" s="1360">
        <v>28959</v>
      </c>
      <c r="L7" s="1166">
        <f t="shared" si="1"/>
        <v>1.6088333333333333</v>
      </c>
    </row>
    <row r="8" spans="2:12">
      <c r="B8" s="1359">
        <v>2027</v>
      </c>
      <c r="C8" s="188">
        <f>+'3.4 - Plan de fabricacion'!BB14</f>
        <v>230400.00000000006</v>
      </c>
      <c r="D8" s="120">
        <f>+'3.4 - Plan de fabricacion'!BB13</f>
        <v>0.90000000000000024</v>
      </c>
      <c r="E8" s="188">
        <f>+'3.4 - Plan de fabricacion'!BB11</f>
        <v>264681.0264783625</v>
      </c>
      <c r="F8" s="188">
        <f>+'3.4 - Plan de fabricacion'!BB16</f>
        <v>6788.4735182805598</v>
      </c>
      <c r="G8" s="487">
        <f>+'3.4 - Plan de fabricacion'!BB17</f>
        <v>2321005.9867200409</v>
      </c>
      <c r="H8" s="1360">
        <v>25889</v>
      </c>
      <c r="I8" s="1360">
        <v>22057</v>
      </c>
      <c r="J8" s="1360">
        <f t="shared" si="0"/>
        <v>3832</v>
      </c>
      <c r="K8" s="1360">
        <v>27212</v>
      </c>
      <c r="L8" s="1166">
        <f t="shared" si="1"/>
        <v>1.5117777777777779</v>
      </c>
    </row>
    <row r="9" spans="2:12" ht="15" thickBot="1">
      <c r="B9" s="1366">
        <v>2028</v>
      </c>
      <c r="C9" s="1208">
        <f>+'3.4 - Plan de fabricacion'!BO14</f>
        <v>345600</v>
      </c>
      <c r="D9" s="552">
        <f>+'3.4 - Plan de fabricacion'!BO13</f>
        <v>0.90000000000000024</v>
      </c>
      <c r="E9" s="1208">
        <f>+'3.4 - Plan de fabricacion'!BO11</f>
        <v>346483.47097876424</v>
      </c>
      <c r="F9" s="1208">
        <f>+'3.4 - Plan de fabricacion'!BO16</f>
        <v>5905.0025395162884</v>
      </c>
      <c r="G9" s="243">
        <f>+'3.4 - Plan de fabricacion'!BO17</f>
        <v>1051821.047811609</v>
      </c>
      <c r="H9" s="1367">
        <v>33883</v>
      </c>
      <c r="I9" s="1367">
        <v>28874</v>
      </c>
      <c r="J9" s="1367">
        <f t="shared" si="0"/>
        <v>5009</v>
      </c>
      <c r="K9" s="1367">
        <v>12332</v>
      </c>
      <c r="L9" s="1209">
        <f t="shared" si="1"/>
        <v>0.68511111111111112</v>
      </c>
    </row>
  </sheetData>
  <hyperlinks>
    <hyperlink ref="C2" location="Indice!A1" display="INDICE" xr:uid="{B4B45AA2-C7BA-4B44-B43E-A1440F245966}"/>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B2:BP121"/>
  <sheetViews>
    <sheetView showGridLines="0" topLeftCell="A21" zoomScale="70" zoomScaleNormal="70" workbookViewId="0">
      <pane xSplit="3" topLeftCell="P1" activePane="topRight" state="frozen"/>
      <selection pane="topRight" activeCell="C55" sqref="C55:C57"/>
    </sheetView>
  </sheetViews>
  <sheetFormatPr defaultColWidth="11.42578125" defaultRowHeight="14.45"/>
  <cols>
    <col min="1" max="1" width="7.42578125" customWidth="1"/>
    <col min="2" max="2" width="25" bestFit="1" customWidth="1"/>
    <col min="3" max="3" width="51.85546875" bestFit="1" customWidth="1"/>
    <col min="4" max="4" width="12.7109375" hidden="1" customWidth="1"/>
    <col min="5" max="7" width="13.7109375" hidden="1" customWidth="1"/>
    <col min="8" max="9" width="15.85546875" hidden="1" customWidth="1"/>
    <col min="10" max="10" width="14.28515625" hidden="1" customWidth="1"/>
    <col min="11" max="11" width="15.42578125" hidden="1" customWidth="1"/>
    <col min="12" max="13" width="14.7109375" hidden="1" customWidth="1"/>
    <col min="14" max="14" width="15.140625" hidden="1" customWidth="1"/>
    <col min="15" max="15" width="13.7109375" hidden="1" customWidth="1"/>
    <col min="16" max="16" width="14.85546875" customWidth="1"/>
    <col min="17" max="17" width="15.42578125" hidden="1" customWidth="1"/>
    <col min="18" max="19" width="15.85546875" hidden="1" customWidth="1"/>
    <col min="20" max="20" width="16.28515625" hidden="1" customWidth="1"/>
    <col min="21" max="22" width="16.7109375" hidden="1" customWidth="1"/>
    <col min="23" max="25" width="16.28515625" hidden="1" customWidth="1"/>
    <col min="26" max="27" width="15.85546875" hidden="1" customWidth="1"/>
    <col min="28" max="28" width="16.7109375" hidden="1" customWidth="1"/>
    <col min="29" max="29" width="16.28515625" customWidth="1"/>
    <col min="30" max="40" width="14.85546875" style="118" hidden="1" customWidth="1"/>
    <col min="41" max="41" width="15.85546875" style="118" hidden="1" customWidth="1"/>
    <col min="42" max="42" width="16.42578125" bestFit="1" customWidth="1"/>
    <col min="43" max="44" width="14.85546875" hidden="1" customWidth="1"/>
    <col min="45" max="45" width="16.28515625" hidden="1" customWidth="1"/>
    <col min="46" max="54" width="14.85546875" hidden="1" customWidth="1"/>
    <col min="55" max="55" width="17.140625" bestFit="1" customWidth="1"/>
    <col min="56" max="67" width="14.85546875" hidden="1" customWidth="1"/>
    <col min="68" max="68" width="18.140625" bestFit="1" customWidth="1"/>
    <col min="70" max="70" width="50.7109375" bestFit="1" customWidth="1"/>
    <col min="71" max="72" width="19.28515625" bestFit="1" customWidth="1"/>
    <col min="73" max="75" width="20.28515625" bestFit="1" customWidth="1"/>
    <col min="76" max="76" width="19.28515625" bestFit="1" customWidth="1"/>
  </cols>
  <sheetData>
    <row r="2" spans="2:68">
      <c r="B2" s="1305" t="s">
        <v>126</v>
      </c>
      <c r="C2" s="337" t="s">
        <v>49</v>
      </c>
      <c r="AD2" s="1305"/>
      <c r="AE2" s="1305"/>
      <c r="AF2" s="1305"/>
      <c r="AG2" s="1305"/>
      <c r="AH2" s="1305"/>
      <c r="AI2" s="1305"/>
      <c r="AJ2" s="1305"/>
      <c r="AK2" s="1305"/>
      <c r="AL2" s="1305"/>
      <c r="AM2" s="1305"/>
      <c r="AN2" s="1305"/>
      <c r="AO2" s="1305"/>
    </row>
    <row r="3" spans="2:68" ht="15" thickBot="1">
      <c r="AD3" s="1305"/>
      <c r="AE3" s="1305"/>
      <c r="AF3" s="1305"/>
      <c r="AG3" s="1305"/>
      <c r="AH3" s="1305"/>
      <c r="AI3" s="1305"/>
      <c r="AJ3" s="1305"/>
      <c r="AK3" s="1305"/>
      <c r="AL3" s="1305"/>
      <c r="AM3" s="1305"/>
      <c r="AN3" s="1305"/>
      <c r="AO3" s="1305"/>
    </row>
    <row r="4" spans="2:68" ht="14.45" customHeight="1">
      <c r="B4" s="1730"/>
      <c r="C4" s="1369"/>
      <c r="D4" s="1732" t="s">
        <v>1138</v>
      </c>
      <c r="E4" s="1733"/>
      <c r="F4" s="1733"/>
      <c r="G4" s="1733"/>
      <c r="H4" s="1733"/>
      <c r="I4" s="1733"/>
      <c r="J4" s="1733"/>
      <c r="K4" s="1733"/>
      <c r="L4" s="1733"/>
      <c r="M4" s="1733"/>
      <c r="N4" s="1733"/>
      <c r="O4" s="1733"/>
      <c r="P4" s="1733"/>
      <c r="Q4" s="1733"/>
      <c r="R4" s="1733"/>
      <c r="S4" s="1733"/>
      <c r="T4" s="1733"/>
      <c r="U4" s="1733"/>
      <c r="V4" s="1733"/>
      <c r="W4" s="1733"/>
      <c r="X4" s="1733"/>
      <c r="Y4" s="1733"/>
      <c r="Z4" s="1733"/>
      <c r="AA4" s="1733"/>
      <c r="AB4" s="1733"/>
      <c r="AC4" s="1733"/>
      <c r="AD4" s="1733"/>
      <c r="AE4" s="1733"/>
      <c r="AF4" s="1733"/>
      <c r="AG4" s="1733"/>
      <c r="AH4" s="1733"/>
      <c r="AI4" s="1733"/>
      <c r="AJ4" s="1733"/>
      <c r="AK4" s="1733"/>
      <c r="AL4" s="1733"/>
      <c r="AM4" s="1733"/>
      <c r="AN4" s="1733"/>
      <c r="AO4" s="1733"/>
      <c r="AP4" s="1733"/>
      <c r="AQ4" s="1733"/>
      <c r="AR4" s="1733"/>
      <c r="AS4" s="1733"/>
      <c r="AT4" s="1733"/>
      <c r="AU4" s="1733"/>
      <c r="AV4" s="1733"/>
      <c r="AW4" s="1733"/>
      <c r="AX4" s="1733"/>
      <c r="AY4" s="1733"/>
      <c r="AZ4" s="1733"/>
      <c r="BA4" s="1733"/>
      <c r="BB4" s="1733"/>
      <c r="BC4" s="1733"/>
      <c r="BD4" s="1733"/>
      <c r="BE4" s="1733"/>
      <c r="BF4" s="1733"/>
      <c r="BG4" s="1733"/>
      <c r="BH4" s="1733"/>
      <c r="BI4" s="1733"/>
      <c r="BJ4" s="1733"/>
      <c r="BK4" s="1733"/>
      <c r="BL4" s="1733"/>
      <c r="BM4" s="1733"/>
      <c r="BN4" s="1733"/>
      <c r="BO4" s="1733"/>
      <c r="BP4" s="1734"/>
    </row>
    <row r="5" spans="2:68" ht="15" customHeight="1" thickBot="1">
      <c r="B5" s="1731"/>
      <c r="C5" s="1370"/>
      <c r="D5" s="1735"/>
      <c r="E5" s="1736"/>
      <c r="F5" s="1736"/>
      <c r="G5" s="1736"/>
      <c r="H5" s="1736"/>
      <c r="I5" s="1736"/>
      <c r="J5" s="1736"/>
      <c r="K5" s="1736"/>
      <c r="L5" s="1736"/>
      <c r="M5" s="1736"/>
      <c r="N5" s="1736"/>
      <c r="O5" s="1736"/>
      <c r="P5" s="1736"/>
      <c r="Q5" s="1736"/>
      <c r="R5" s="1736"/>
      <c r="S5" s="1736"/>
      <c r="T5" s="1736"/>
      <c r="U5" s="1736"/>
      <c r="V5" s="1736"/>
      <c r="W5" s="1736"/>
      <c r="X5" s="1736"/>
      <c r="Y5" s="1736"/>
      <c r="Z5" s="1736"/>
      <c r="AA5" s="1736"/>
      <c r="AB5" s="1736"/>
      <c r="AC5" s="1736"/>
      <c r="AD5" s="1736"/>
      <c r="AE5" s="1736"/>
      <c r="AF5" s="1736"/>
      <c r="AG5" s="1736"/>
      <c r="AH5" s="1736"/>
      <c r="AI5" s="1736"/>
      <c r="AJ5" s="1736"/>
      <c r="AK5" s="1736"/>
      <c r="AL5" s="1736"/>
      <c r="AM5" s="1736"/>
      <c r="AN5" s="1736"/>
      <c r="AO5" s="1736"/>
      <c r="AP5" s="1736"/>
      <c r="AQ5" s="1736"/>
      <c r="AR5" s="1736"/>
      <c r="AS5" s="1736"/>
      <c r="AT5" s="1736"/>
      <c r="AU5" s="1736"/>
      <c r="AV5" s="1736"/>
      <c r="AW5" s="1736"/>
      <c r="AX5" s="1736"/>
      <c r="AY5" s="1736"/>
      <c r="AZ5" s="1736"/>
      <c r="BA5" s="1736"/>
      <c r="BB5" s="1736"/>
      <c r="BC5" s="1736"/>
      <c r="BD5" s="1736"/>
      <c r="BE5" s="1736"/>
      <c r="BF5" s="1736"/>
      <c r="BG5" s="1736"/>
      <c r="BH5" s="1736"/>
      <c r="BI5" s="1736"/>
      <c r="BJ5" s="1736"/>
      <c r="BK5" s="1736"/>
      <c r="BL5" s="1736"/>
      <c r="BM5" s="1736"/>
      <c r="BN5" s="1736"/>
      <c r="BO5" s="1736"/>
      <c r="BP5" s="1737"/>
    </row>
    <row r="6" spans="2:68" ht="15" thickBot="1">
      <c r="B6" s="1731"/>
      <c r="C6" s="1370"/>
      <c r="D6" s="1741">
        <v>2024</v>
      </c>
      <c r="E6" s="1742"/>
      <c r="F6" s="1742"/>
      <c r="G6" s="1742"/>
      <c r="H6" s="1742"/>
      <c r="I6" s="1742"/>
      <c r="J6" s="1742"/>
      <c r="K6" s="1742"/>
      <c r="L6" s="1742"/>
      <c r="M6" s="1742"/>
      <c r="N6" s="1742"/>
      <c r="O6" s="1742"/>
      <c r="P6" s="1743"/>
      <c r="Q6" s="1744">
        <v>2025</v>
      </c>
      <c r="R6" s="1745"/>
      <c r="S6" s="1745"/>
      <c r="T6" s="1745"/>
      <c r="U6" s="1745"/>
      <c r="V6" s="1745"/>
      <c r="W6" s="1745"/>
      <c r="X6" s="1745"/>
      <c r="Y6" s="1745"/>
      <c r="Z6" s="1745"/>
      <c r="AA6" s="1745"/>
      <c r="AB6" s="1745"/>
      <c r="AC6" s="1746"/>
      <c r="AD6" s="1747">
        <v>2026</v>
      </c>
      <c r="AE6" s="1747"/>
      <c r="AF6" s="1747"/>
      <c r="AG6" s="1747"/>
      <c r="AH6" s="1747"/>
      <c r="AI6" s="1747"/>
      <c r="AJ6" s="1747"/>
      <c r="AK6" s="1747"/>
      <c r="AL6" s="1747"/>
      <c r="AM6" s="1747"/>
      <c r="AN6" s="1747"/>
      <c r="AO6" s="1747"/>
      <c r="AP6" s="1748"/>
      <c r="AQ6" s="1744">
        <v>2027</v>
      </c>
      <c r="AR6" s="1745"/>
      <c r="AS6" s="1745"/>
      <c r="AT6" s="1745"/>
      <c r="AU6" s="1745"/>
      <c r="AV6" s="1745"/>
      <c r="AW6" s="1745"/>
      <c r="AX6" s="1745"/>
      <c r="AY6" s="1745"/>
      <c r="AZ6" s="1745"/>
      <c r="BA6" s="1745"/>
      <c r="BB6" s="1745"/>
      <c r="BC6" s="1746"/>
      <c r="BD6" s="1749">
        <v>2028</v>
      </c>
      <c r="BE6" s="1750"/>
      <c r="BF6" s="1750"/>
      <c r="BG6" s="1750"/>
      <c r="BH6" s="1750"/>
      <c r="BI6" s="1750"/>
      <c r="BJ6" s="1750"/>
      <c r="BK6" s="1750"/>
      <c r="BL6" s="1750"/>
      <c r="BM6" s="1750"/>
      <c r="BN6" s="1750"/>
      <c r="BO6" s="1750"/>
      <c r="BP6" s="1751"/>
    </row>
    <row r="7" spans="2:68" ht="15" thickBot="1">
      <c r="B7" s="304" t="s">
        <v>1139</v>
      </c>
      <c r="C7" s="1136"/>
      <c r="D7" s="1134" t="s">
        <v>53</v>
      </c>
      <c r="E7" s="282" t="s">
        <v>54</v>
      </c>
      <c r="F7" s="282" t="s">
        <v>55</v>
      </c>
      <c r="G7" s="282" t="s">
        <v>56</v>
      </c>
      <c r="H7" s="282" t="s">
        <v>57</v>
      </c>
      <c r="I7" s="282" t="s">
        <v>58</v>
      </c>
      <c r="J7" s="282" t="s">
        <v>59</v>
      </c>
      <c r="K7" s="282" t="s">
        <v>60</v>
      </c>
      <c r="L7" s="282" t="s">
        <v>61</v>
      </c>
      <c r="M7" s="282" t="s">
        <v>62</v>
      </c>
      <c r="N7" s="282" t="s">
        <v>63</v>
      </c>
      <c r="O7" s="283" t="s">
        <v>64</v>
      </c>
      <c r="P7" s="460" t="s">
        <v>1140</v>
      </c>
      <c r="Q7" s="464" t="s">
        <v>53</v>
      </c>
      <c r="R7" s="458" t="s">
        <v>54</v>
      </c>
      <c r="S7" s="458" t="s">
        <v>55</v>
      </c>
      <c r="T7" s="458" t="s">
        <v>56</v>
      </c>
      <c r="U7" s="458" t="s">
        <v>57</v>
      </c>
      <c r="V7" s="458" t="s">
        <v>58</v>
      </c>
      <c r="W7" s="458" t="s">
        <v>59</v>
      </c>
      <c r="X7" s="458" t="s">
        <v>60</v>
      </c>
      <c r="Y7" s="458" t="s">
        <v>61</v>
      </c>
      <c r="Z7" s="458" t="s">
        <v>62</v>
      </c>
      <c r="AA7" s="458" t="s">
        <v>63</v>
      </c>
      <c r="AB7" s="459" t="s">
        <v>64</v>
      </c>
      <c r="AC7" s="460" t="s">
        <v>1140</v>
      </c>
      <c r="AD7" s="278" t="s">
        <v>53</v>
      </c>
      <c r="AE7" s="278" t="s">
        <v>54</v>
      </c>
      <c r="AF7" s="278" t="s">
        <v>55</v>
      </c>
      <c r="AG7" s="278" t="s">
        <v>56</v>
      </c>
      <c r="AH7" s="278" t="s">
        <v>57</v>
      </c>
      <c r="AI7" s="278" t="s">
        <v>58</v>
      </c>
      <c r="AJ7" s="278" t="s">
        <v>59</v>
      </c>
      <c r="AK7" s="278" t="s">
        <v>60</v>
      </c>
      <c r="AL7" s="278" t="s">
        <v>61</v>
      </c>
      <c r="AM7" s="278" t="s">
        <v>62</v>
      </c>
      <c r="AN7" s="278" t="s">
        <v>63</v>
      </c>
      <c r="AO7" s="1374" t="s">
        <v>64</v>
      </c>
      <c r="AP7" s="331" t="s">
        <v>1140</v>
      </c>
      <c r="AQ7" s="278" t="s">
        <v>53</v>
      </c>
      <c r="AR7" s="1375" t="s">
        <v>54</v>
      </c>
      <c r="AS7" s="1375" t="s">
        <v>55</v>
      </c>
      <c r="AT7" s="1375" t="s">
        <v>56</v>
      </c>
      <c r="AU7" s="1375" t="s">
        <v>57</v>
      </c>
      <c r="AV7" s="1375" t="s">
        <v>58</v>
      </c>
      <c r="AW7" s="1375" t="s">
        <v>59</v>
      </c>
      <c r="AX7" s="1375" t="s">
        <v>60</v>
      </c>
      <c r="AY7" s="1375" t="s">
        <v>61</v>
      </c>
      <c r="AZ7" s="1375" t="s">
        <v>62</v>
      </c>
      <c r="BA7" s="1375" t="s">
        <v>63</v>
      </c>
      <c r="BB7" s="977" t="s">
        <v>64</v>
      </c>
      <c r="BC7" s="331" t="s">
        <v>1140</v>
      </c>
      <c r="BD7" s="278" t="s">
        <v>53</v>
      </c>
      <c r="BE7" s="1375" t="s">
        <v>54</v>
      </c>
      <c r="BF7" s="1375" t="s">
        <v>55</v>
      </c>
      <c r="BG7" s="1375" t="s">
        <v>56</v>
      </c>
      <c r="BH7" s="1375" t="s">
        <v>57</v>
      </c>
      <c r="BI7" s="1375" t="s">
        <v>58</v>
      </c>
      <c r="BJ7" s="1375" t="s">
        <v>59</v>
      </c>
      <c r="BK7" s="1375" t="s">
        <v>60</v>
      </c>
      <c r="BL7" s="1375" t="s">
        <v>61</v>
      </c>
      <c r="BM7" s="1375" t="s">
        <v>62</v>
      </c>
      <c r="BN7" s="1375" t="s">
        <v>63</v>
      </c>
      <c r="BO7" s="977" t="s">
        <v>64</v>
      </c>
      <c r="BP7" s="980" t="s">
        <v>1140</v>
      </c>
    </row>
    <row r="8" spans="2:68">
      <c r="B8" s="303" t="s">
        <v>1141</v>
      </c>
      <c r="C8" s="1137"/>
      <c r="D8" s="416">
        <f>'1.5 - Proyeccion demanda'!L5</f>
        <v>0</v>
      </c>
      <c r="E8" s="188">
        <f>'1.5 - Proyeccion demanda'!L6</f>
        <v>0</v>
      </c>
      <c r="F8" s="188">
        <f>'1.5 - Proyeccion demanda'!L7</f>
        <v>458.78715296772765</v>
      </c>
      <c r="G8" s="188">
        <f>'1.5 - Proyeccion demanda'!L8</f>
        <v>654.46540635441795</v>
      </c>
      <c r="H8" s="188">
        <f>'1.5 - Proyeccion demanda'!L9</f>
        <v>1133.3639071574148</v>
      </c>
      <c r="I8" s="188">
        <f>'1.5 - Proyeccion demanda'!L10</f>
        <v>2020.7089346366156</v>
      </c>
      <c r="J8" s="188">
        <f>'1.5 - Proyeccion demanda'!L11</f>
        <v>2761.5709020347103</v>
      </c>
      <c r="K8" s="188">
        <f>'1.5 - Proyeccion demanda'!L12</f>
        <v>3891.7400077509606</v>
      </c>
      <c r="L8" s="188">
        <f>'1.5 - Proyeccion demanda'!L13</f>
        <v>3966.860855363675</v>
      </c>
      <c r="M8" s="188">
        <f>'1.5 - Proyeccion demanda'!L14</f>
        <v>4295.2126467347898</v>
      </c>
      <c r="N8" s="188">
        <f>'1.5 - Proyeccion demanda'!L15</f>
        <v>4984.5591332376289</v>
      </c>
      <c r="O8" s="284">
        <f>'1.5 - Proyeccion demanda'!L16</f>
        <v>4293.0109923016389</v>
      </c>
      <c r="P8" s="465">
        <f>SUM(D8:O8)</f>
        <v>28460.279938539581</v>
      </c>
      <c r="Q8" s="416">
        <f>'1.5 - Proyeccion demanda'!L17</f>
        <v>8237.8105367251537</v>
      </c>
      <c r="R8" s="188">
        <f>'1.5 - Proyeccion demanda'!L18</f>
        <v>8224.669631947294</v>
      </c>
      <c r="S8" s="188">
        <f>'1.5 - Proyeccion demanda'!L19</f>
        <v>9689.5829090955904</v>
      </c>
      <c r="T8" s="188">
        <f>'1.5 - Proyeccion demanda'!L20</f>
        <v>9212.6014060285579</v>
      </c>
      <c r="U8" s="188">
        <f>'1.5 - Proyeccion demanda'!L21</f>
        <v>9569.9614281447157</v>
      </c>
      <c r="V8" s="188">
        <f>'1.5 - Proyeccion demanda'!L22</f>
        <v>10661.529474735869</v>
      </c>
      <c r="W8" s="188">
        <f>'1.5 - Proyeccion demanda'!L23</f>
        <v>10594.12544834003</v>
      </c>
      <c r="X8" s="188">
        <f>'1.5 - Proyeccion demanda'!L24</f>
        <v>11727.735648921653</v>
      </c>
      <c r="Y8" s="188">
        <f>'1.5 - Proyeccion demanda'!L25</f>
        <v>11154.543259115637</v>
      </c>
      <c r="Z8" s="188">
        <f>'1.5 - Proyeccion demanda'!L26</f>
        <v>10654.435201969105</v>
      </c>
      <c r="AA8" s="188">
        <f>'1.5 - Proyeccion demanda'!L27</f>
        <v>11060.310640978521</v>
      </c>
      <c r="AB8" s="284">
        <f>'1.5 - Proyeccion demanda'!L28</f>
        <v>9047.4573485301571</v>
      </c>
      <c r="AC8" s="465">
        <f>SUM(Q8:AB8)</f>
        <v>119834.76293453228</v>
      </c>
      <c r="AD8" s="330">
        <f>'1.5 - Proyeccion demanda'!L29</f>
        <v>13017.837287808028</v>
      </c>
      <c r="AE8" s="328">
        <f>'1.5 - Proyeccion demanda'!L30</f>
        <v>12994.141413272167</v>
      </c>
      <c r="AF8" s="328">
        <f>'1.5 - Proyeccion demanda'!L31</f>
        <v>15305.134138254945</v>
      </c>
      <c r="AG8" s="328">
        <f>'1.5 - Proyeccion demanda'!L32</f>
        <v>14548.496090997309</v>
      </c>
      <c r="AH8" s="328">
        <f>'1.5 - Proyeccion demanda'!L33</f>
        <v>15109.517398545166</v>
      </c>
      <c r="AI8" s="328">
        <f>'1.5 - Proyeccion demanda'!L34</f>
        <v>16829.271414432995</v>
      </c>
      <c r="AJ8" s="328">
        <f>'1.5 - Proyeccion demanda'!L35</f>
        <v>16719.262333921666</v>
      </c>
      <c r="AK8" s="328">
        <f>'1.5 - Proyeccion demanda'!L36</f>
        <v>18504.321199260841</v>
      </c>
      <c r="AL8" s="328">
        <f>'1.5 - Proyeccion demanda'!L37</f>
        <v>17596.18635589222</v>
      </c>
      <c r="AM8" s="328">
        <f>'1.5 - Proyeccion demanda'!L38</f>
        <v>16803.731558608044</v>
      </c>
      <c r="AN8" s="328">
        <f>'1.5 - Proyeccion demanda'!L39</f>
        <v>17440.218870606201</v>
      </c>
      <c r="AO8" s="468">
        <f>'1.5 - Proyeccion demanda'!L40</f>
        <v>14263.339068685542</v>
      </c>
      <c r="AP8" s="329">
        <f>SUM(AD8:AO8)</f>
        <v>189131.4571302851</v>
      </c>
      <c r="AQ8" s="330">
        <f>'1.5 - Proyeccion demanda'!L41</f>
        <v>18238.611694037776</v>
      </c>
      <c r="AR8" s="328">
        <f>'1.5 - Proyeccion demanda'!L42</f>
        <v>18201.704504831188</v>
      </c>
      <c r="AS8" s="328">
        <f>'1.5 - Proyeccion demanda'!L43</f>
        <v>21434.525217155337</v>
      </c>
      <c r="AT8" s="328">
        <f>'1.5 - Proyeccion demanda'!L44</f>
        <v>20370.78676393571</v>
      </c>
      <c r="AU8" s="328">
        <f>'1.5 - Proyeccion demanda'!L45</f>
        <v>21152.123539831016</v>
      </c>
      <c r="AV8" s="328">
        <f>'1.5 - Proyeccion demanda'!L46</f>
        <v>23554.998155682893</v>
      </c>
      <c r="AW8" s="328">
        <f>'1.5 - Proyeccion demanda'!L47</f>
        <v>23396.448660444385</v>
      </c>
      <c r="AX8" s="328">
        <f>'1.5 - Proyeccion demanda'!L48</f>
        <v>25889.385233518937</v>
      </c>
      <c r="AY8" s="328">
        <f>'1.5 - Proyeccion demanda'!L49</f>
        <v>24614.077097481309</v>
      </c>
      <c r="AZ8" s="328">
        <f>'1.5 - Proyeccion demanda'!L50</f>
        <v>23501.080419016591</v>
      </c>
      <c r="BA8" s="328">
        <f>'1.5 - Proyeccion demanda'!L51</f>
        <v>24386.629039659507</v>
      </c>
      <c r="BB8" s="468">
        <f>'1.5 - Proyeccion demanda'!L52</f>
        <v>19940.656152767806</v>
      </c>
      <c r="BC8" s="329">
        <f>SUM(AQ8:BB8)</f>
        <v>264681.0264783625</v>
      </c>
      <c r="BD8" s="330">
        <f>'1.5 - Proyeccion demanda'!L53</f>
        <v>23900.133755414401</v>
      </c>
      <c r="BE8" s="328">
        <f>'1.5 - Proyeccion demanda'!L54</f>
        <v>23847.358906624358</v>
      </c>
      <c r="BF8" s="328">
        <f>'1.5 - Proyeccion demanda'!L55</f>
        <v>28077.756145796775</v>
      </c>
      <c r="BG8" s="328">
        <f>'1.5 - Proyeccion demanda'!L56</f>
        <v>26679.473424843756</v>
      </c>
      <c r="BH8" s="328">
        <f>'1.5 - Proyeccion demanda'!L57</f>
        <v>27697.779852002262</v>
      </c>
      <c r="BI8" s="328">
        <f>'1.5 - Proyeccion demanda'!L58</f>
        <v>30838.7096984856</v>
      </c>
      <c r="BJ8" s="328">
        <f>'1.5 - Proyeccion demanda'!L59</f>
        <v>30625.684427908192</v>
      </c>
      <c r="BK8" s="328">
        <f>'1.5 - Proyeccion demanda'!L60</f>
        <v>33882.927751695934</v>
      </c>
      <c r="BL8" s="328">
        <f>'1.5 - Proyeccion demanda'!L61</f>
        <v>32208.215483882901</v>
      </c>
      <c r="BM8" s="328">
        <f>'1.5 - Proyeccion demanda'!L62</f>
        <v>30746.481783194722</v>
      </c>
      <c r="BN8" s="328">
        <f>'1.5 - Proyeccion demanda'!L63</f>
        <v>31899.541148138429</v>
      </c>
      <c r="BO8" s="468">
        <f>'1.5 - Proyeccion demanda'!L64</f>
        <v>26079.408600776944</v>
      </c>
      <c r="BP8" s="329">
        <f>SUM(BD8:BO8)</f>
        <v>346483.47097876424</v>
      </c>
    </row>
    <row r="9" spans="2:68">
      <c r="B9" s="455" t="s">
        <v>1142</v>
      </c>
      <c r="C9" s="1138"/>
      <c r="D9" s="1135">
        <f>'3.4 - Plan de fabricacion'!C14</f>
        <v>0</v>
      </c>
      <c r="E9" s="456">
        <f>'3.4 - Plan de fabricacion'!D14</f>
        <v>0</v>
      </c>
      <c r="F9" s="456">
        <f>'3.4 - Plan de fabricacion'!E14</f>
        <v>4505.6000000000004</v>
      </c>
      <c r="G9" s="456">
        <f>'3.4 - Plan de fabricacion'!F14</f>
        <v>4096</v>
      </c>
      <c r="H9" s="456">
        <f>'3.4 - Plan de fabricacion'!G14</f>
        <v>4300.8</v>
      </c>
      <c r="I9" s="456">
        <f>'3.4 - Plan de fabricacion'!H14</f>
        <v>4096</v>
      </c>
      <c r="J9" s="456">
        <f>'3.4 - Plan de fabricacion'!I14</f>
        <v>4352</v>
      </c>
      <c r="K9" s="456">
        <f>'3.4 - Plan de fabricacion'!J14</f>
        <v>4787.2</v>
      </c>
      <c r="L9" s="456">
        <f>'3.4 - Plan de fabricacion'!K14</f>
        <v>4569.5999999999995</v>
      </c>
      <c r="M9" s="456">
        <f>'3.4 - Plan de fabricacion'!L14</f>
        <v>4569.5999999999995</v>
      </c>
      <c r="N9" s="456">
        <f>'3.4 - Plan de fabricacion'!M14</f>
        <v>4352</v>
      </c>
      <c r="O9" s="457">
        <f>'3.4 - Plan de fabricacion'!N14</f>
        <v>4787.2</v>
      </c>
      <c r="P9" s="465">
        <f>SUM(D9:O9)</f>
        <v>44416</v>
      </c>
      <c r="Q9" s="416">
        <f>'3.4 - Plan de fabricacion'!P14</f>
        <v>9354.24</v>
      </c>
      <c r="R9" s="188">
        <f>'3.4 - Plan de fabricacion'!Q14</f>
        <v>8908.7999999999993</v>
      </c>
      <c r="S9" s="188">
        <f>'3.4 - Plan de fabricacion'!R14</f>
        <v>9799.68</v>
      </c>
      <c r="T9" s="188">
        <f>'3.4 - Plan de fabricacion'!S14</f>
        <v>8908.7999999999993</v>
      </c>
      <c r="U9" s="188">
        <f>'3.4 - Plan de fabricacion'!T14</f>
        <v>9354.24</v>
      </c>
      <c r="V9" s="188">
        <f>'3.4 - Plan de fabricacion'!U14</f>
        <v>8908.7999999999993</v>
      </c>
      <c r="W9" s="188">
        <f>'3.4 - Plan de fabricacion'!V14</f>
        <v>8908.7999999999993</v>
      </c>
      <c r="X9" s="188">
        <f>'3.4 - Plan de fabricacion'!W14</f>
        <v>9799.68</v>
      </c>
      <c r="Y9" s="188">
        <f>'3.4 - Plan de fabricacion'!X14</f>
        <v>9354.24</v>
      </c>
      <c r="Z9" s="188">
        <f>'3.4 - Plan de fabricacion'!Y14</f>
        <v>9354.24</v>
      </c>
      <c r="AA9" s="188">
        <f>'3.4 - Plan de fabricacion'!Z14</f>
        <v>8908.7999999999993</v>
      </c>
      <c r="AB9" s="284">
        <f>'3.4 - Plan de fabricacion'!AA14</f>
        <v>9799.68</v>
      </c>
      <c r="AC9" s="465">
        <f>SUM(Q9:AB9)</f>
        <v>111360.00000000003</v>
      </c>
      <c r="AD9" s="330">
        <f>'3.4 - Plan de fabricacion'!AC14</f>
        <v>18708.48</v>
      </c>
      <c r="AE9" s="328">
        <f>'3.4 - Plan de fabricacion'!AD14</f>
        <v>17817.599999999999</v>
      </c>
      <c r="AF9" s="328">
        <f>'3.4 - Plan de fabricacion'!AE14</f>
        <v>19599.36</v>
      </c>
      <c r="AG9" s="328">
        <f>'3.4 - Plan de fabricacion'!AF14</f>
        <v>17817.599999999999</v>
      </c>
      <c r="AH9" s="328">
        <f>'3.4 - Plan de fabricacion'!AG14</f>
        <v>18708.48</v>
      </c>
      <c r="AI9" s="328">
        <f>'3.4 - Plan de fabricacion'!AH14</f>
        <v>17817.599999999999</v>
      </c>
      <c r="AJ9" s="328">
        <f>'3.4 - Plan de fabricacion'!AI14</f>
        <v>17817.599999999999</v>
      </c>
      <c r="AK9" s="328">
        <f>'3.4 - Plan de fabricacion'!AJ14</f>
        <v>19599.36</v>
      </c>
      <c r="AL9" s="328">
        <f>'3.4 - Plan de fabricacion'!AK14</f>
        <v>18708.48</v>
      </c>
      <c r="AM9" s="328">
        <f>'3.4 - Plan de fabricacion'!AL14</f>
        <v>18708.48</v>
      </c>
      <c r="AN9" s="328">
        <f>'3.4 - Plan de fabricacion'!AM14</f>
        <v>17817.599999999999</v>
      </c>
      <c r="AO9" s="468">
        <f>'3.4 - Plan de fabricacion'!AN14</f>
        <v>19599.36</v>
      </c>
      <c r="AP9" s="329">
        <f>SUM(AD9:AO9)</f>
        <v>222720.00000000006</v>
      </c>
      <c r="AQ9" s="416">
        <f>'3.4 - Plan de fabricacion'!AP14</f>
        <v>19353.600000000002</v>
      </c>
      <c r="AR9" s="188">
        <f>'3.4 - Plan de fabricacion'!AQ14</f>
        <v>18432</v>
      </c>
      <c r="AS9" s="188">
        <f>'3.4 - Plan de fabricacion'!AR14</f>
        <v>20275.2</v>
      </c>
      <c r="AT9" s="188">
        <f>'3.4 - Plan de fabricacion'!AS14</f>
        <v>18432</v>
      </c>
      <c r="AU9" s="188">
        <f>'3.4 - Plan de fabricacion'!AT14</f>
        <v>19353.600000000002</v>
      </c>
      <c r="AV9" s="188">
        <f>'3.4 - Plan de fabricacion'!AU14</f>
        <v>18432</v>
      </c>
      <c r="AW9" s="188">
        <f>'3.4 - Plan de fabricacion'!AV14</f>
        <v>18432</v>
      </c>
      <c r="AX9" s="188">
        <f>'3.4 - Plan de fabricacion'!AW14</f>
        <v>20275.2</v>
      </c>
      <c r="AY9" s="188">
        <f>'3.4 - Plan de fabricacion'!AX14</f>
        <v>19353.600000000002</v>
      </c>
      <c r="AZ9" s="188">
        <f>'3.4 - Plan de fabricacion'!AY14</f>
        <v>19353.600000000002</v>
      </c>
      <c r="BA9" s="188">
        <f>'3.4 - Plan de fabricacion'!AZ14</f>
        <v>18432</v>
      </c>
      <c r="BB9" s="284">
        <f>'3.4 - Plan de fabricacion'!BA14</f>
        <v>20275.2</v>
      </c>
      <c r="BC9" s="329">
        <f>SUM(AQ9:BB9)</f>
        <v>230400.00000000006</v>
      </c>
      <c r="BD9" s="330">
        <f>'3.4 - Plan de fabricacion'!BC14</f>
        <v>29030.400000000001</v>
      </c>
      <c r="BE9" s="330">
        <f>'3.4 - Plan de fabricacion'!BD14</f>
        <v>27648</v>
      </c>
      <c r="BF9" s="330">
        <f>'3.4 - Plan de fabricacion'!BE14</f>
        <v>30412.799999999999</v>
      </c>
      <c r="BG9" s="330">
        <f>'3.4 - Plan de fabricacion'!BF14</f>
        <v>27648</v>
      </c>
      <c r="BH9" s="330">
        <f>'3.4 - Plan de fabricacion'!BG14</f>
        <v>29030.400000000001</v>
      </c>
      <c r="BI9" s="330">
        <f>'3.4 - Plan de fabricacion'!BH14</f>
        <v>27648</v>
      </c>
      <c r="BJ9" s="330">
        <f>'3.4 - Plan de fabricacion'!BI14</f>
        <v>27648</v>
      </c>
      <c r="BK9" s="330">
        <f>'3.4 - Plan de fabricacion'!BJ14</f>
        <v>30412.799999999999</v>
      </c>
      <c r="BL9" s="330">
        <f>'3.4 - Plan de fabricacion'!BK14</f>
        <v>29030.400000000001</v>
      </c>
      <c r="BM9" s="330">
        <f>'3.4 - Plan de fabricacion'!BL14</f>
        <v>29030.400000000001</v>
      </c>
      <c r="BN9" s="330">
        <f>'3.4 - Plan de fabricacion'!BM14</f>
        <v>27648</v>
      </c>
      <c r="BO9" s="979">
        <f>'3.4 - Plan de fabricacion'!BN14</f>
        <v>30412.799999999999</v>
      </c>
      <c r="BP9" s="329">
        <f>SUM(BD9:BO9)</f>
        <v>345600</v>
      </c>
    </row>
    <row r="10" spans="2:68">
      <c r="B10" s="455" t="s">
        <v>678</v>
      </c>
      <c r="C10" s="1138"/>
      <c r="D10" s="1135">
        <f>'3.4 - Plan de fabricacion'!C16</f>
        <v>0</v>
      </c>
      <c r="E10" s="456">
        <f>'3.4 - Plan de fabricacion'!D16</f>
        <v>0</v>
      </c>
      <c r="F10" s="456">
        <f>'3.4 - Plan de fabricacion'!E16</f>
        <v>4046.8128470322727</v>
      </c>
      <c r="G10" s="456">
        <f>'3.4 - Plan de fabricacion'!F16</f>
        <v>7488.347440677855</v>
      </c>
      <c r="H10" s="456">
        <f>'3.4 - Plan de fabricacion'!G16</f>
        <v>10655.78353352044</v>
      </c>
      <c r="I10" s="456">
        <f>'3.4 - Plan de fabricacion'!H16</f>
        <v>12731.074598883824</v>
      </c>
      <c r="J10" s="456">
        <f>'3.4 - Plan de fabricacion'!I16</f>
        <v>14321.503696849115</v>
      </c>
      <c r="K10" s="456">
        <f>'3.4 - Plan de fabricacion'!J16</f>
        <v>15216.963689098155</v>
      </c>
      <c r="L10" s="456">
        <f>'3.4 - Plan de fabricacion'!K16</f>
        <v>15819.702833734478</v>
      </c>
      <c r="M10" s="456">
        <f>'3.4 - Plan de fabricacion'!L16</f>
        <v>16094.090186999689</v>
      </c>
      <c r="N10" s="456">
        <f>'3.4 - Plan de fabricacion'!M16</f>
        <v>15461.531053762061</v>
      </c>
      <c r="O10" s="457">
        <f>'3.4 - Plan de fabricacion'!N16</f>
        <v>15955.720061460423</v>
      </c>
      <c r="P10" s="466">
        <f>'3.4 - Plan de fabricacion'!O16</f>
        <v>15955.720061460423</v>
      </c>
      <c r="Q10" s="416">
        <f>'3.4 - Plan de fabricacion'!P16</f>
        <v>17072.149524735269</v>
      </c>
      <c r="R10" s="416">
        <f>'3.4 - Plan de fabricacion'!Q16</f>
        <v>17756.279892787974</v>
      </c>
      <c r="S10" s="416">
        <f>'3.4 - Plan de fabricacion'!R16</f>
        <v>17866.376983692382</v>
      </c>
      <c r="T10" s="416">
        <f>'3.4 - Plan de fabricacion'!S16</f>
        <v>17562.575577663825</v>
      </c>
      <c r="U10" s="416">
        <f>'3.4 - Plan de fabricacion'!T16</f>
        <v>17346.854149519109</v>
      </c>
      <c r="V10" s="416">
        <f>'3.4 - Plan de fabricacion'!U16</f>
        <v>15594.124674783239</v>
      </c>
      <c r="W10" s="416">
        <f>'3.4 - Plan de fabricacion'!V16</f>
        <v>13908.799226443209</v>
      </c>
      <c r="X10" s="416">
        <f>'3.4 - Plan de fabricacion'!W16</f>
        <v>11980.743577521556</v>
      </c>
      <c r="Y10" s="416">
        <f>'3.4 - Plan de fabricacion'!X16</f>
        <v>10180.440318405919</v>
      </c>
      <c r="Z10" s="416">
        <f>'3.4 - Plan de fabricacion'!Y16</f>
        <v>8880.245116436814</v>
      </c>
      <c r="AA10" s="416">
        <f>'3.4 - Plan de fabricacion'!Z16</f>
        <v>6728.7344754582919</v>
      </c>
      <c r="AB10" s="467">
        <f>'3.4 - Plan de fabricacion'!AA16</f>
        <v>7480.957126928135</v>
      </c>
      <c r="AC10" s="465">
        <f>'3.4 - Plan de fabricacion'!AB16</f>
        <v>7480.957126928135</v>
      </c>
      <c r="AD10" s="330">
        <f>'3.4 - Plan de fabricacion'!AC16</f>
        <v>13171.599839120106</v>
      </c>
      <c r="AE10" s="328">
        <f>'3.4 - Plan de fabricacion'!AD16</f>
        <v>17995.058425847936</v>
      </c>
      <c r="AF10" s="328">
        <f>'3.4 - Plan de fabricacion'!AE16</f>
        <v>22289.284287592993</v>
      </c>
      <c r="AG10" s="328">
        <f>'3.4 - Plan de fabricacion'!AF16</f>
        <v>25558.388196595683</v>
      </c>
      <c r="AH10" s="328">
        <f>'3.4 - Plan de fabricacion'!AG16</f>
        <v>29157.350798050516</v>
      </c>
      <c r="AI10" s="328">
        <f>'3.4 - Plan de fabricacion'!AH16</f>
        <v>30145.67938361752</v>
      </c>
      <c r="AJ10" s="328">
        <f>'3.4 - Plan de fabricacion'!AI16</f>
        <v>31244.017049695853</v>
      </c>
      <c r="AK10" s="328">
        <f>'3.4 - Plan de fabricacion'!AJ16</f>
        <v>32339.055850435012</v>
      </c>
      <c r="AL10" s="328">
        <f>'3.4 - Plan de fabricacion'!AK16</f>
        <v>33451.349494542796</v>
      </c>
      <c r="AM10" s="328">
        <f>'3.4 - Plan de fabricacion'!AL16</f>
        <v>35356.097935934755</v>
      </c>
      <c r="AN10" s="328">
        <f>'3.4 - Plan de fabricacion'!AM16</f>
        <v>35733.479065328553</v>
      </c>
      <c r="AO10" s="468">
        <f>'3.4 - Plan de fabricacion'!AN16</f>
        <v>41069.499996643011</v>
      </c>
      <c r="AP10" s="329">
        <f>'3.4 - Plan de fabricacion'!AO16</f>
        <v>41069.499996643004</v>
      </c>
      <c r="AQ10" s="416">
        <f>'3.4 - Plan de fabricacion'!AP16</f>
        <v>42184.488302605227</v>
      </c>
      <c r="AR10" s="188">
        <f>'3.4 - Plan de fabricacion'!AQ16</f>
        <v>42414.783797774042</v>
      </c>
      <c r="AS10" s="188">
        <f>'3.4 - Plan de fabricacion'!AR16</f>
        <v>41255.45858061871</v>
      </c>
      <c r="AT10" s="188">
        <f>'3.4 - Plan de fabricacion'!AS16</f>
        <v>39316.671816682996</v>
      </c>
      <c r="AU10" s="188">
        <f>'3.4 - Plan de fabricacion'!AT16</f>
        <v>37518.148276851978</v>
      </c>
      <c r="AV10" s="188">
        <f>'3.4 - Plan de fabricacion'!AU16</f>
        <v>32395.150121169085</v>
      </c>
      <c r="AW10" s="188">
        <f>'3.4 - Plan de fabricacion'!AV16</f>
        <v>27430.7014607247</v>
      </c>
      <c r="AX10" s="188">
        <f>'3.4 - Plan de fabricacion'!AW16</f>
        <v>21816.516227205764</v>
      </c>
      <c r="AY10" s="188">
        <f>'3.4 - Plan de fabricacion'!AX16</f>
        <v>16556.039129724457</v>
      </c>
      <c r="AZ10" s="188">
        <f>'3.4 - Plan de fabricacion'!AY16</f>
        <v>12408.558710707868</v>
      </c>
      <c r="BA10" s="188">
        <f>'3.4 - Plan de fabricacion'!AZ16</f>
        <v>6453.9296710483613</v>
      </c>
      <c r="BB10" s="284">
        <f>'3.4 - Plan de fabricacion'!BA16</f>
        <v>6788.4735182805562</v>
      </c>
      <c r="BC10" s="329">
        <f>'3.4 - Plan de fabricacion'!BB16</f>
        <v>6788.4735182805598</v>
      </c>
      <c r="BD10" s="330">
        <f>'3.4 - Plan de fabricacion'!BC16</f>
        <v>11918.73976286616</v>
      </c>
      <c r="BE10" s="330">
        <f>'3.4 - Plan de fabricacion'!BD16</f>
        <v>15719.380856241802</v>
      </c>
      <c r="BF10" s="330">
        <f>'3.4 - Plan de fabricacion'!BE16</f>
        <v>18054.424710445026</v>
      </c>
      <c r="BG10" s="330">
        <f>'3.4 - Plan de fabricacion'!BF16</f>
        <v>19022.95128560127</v>
      </c>
      <c r="BH10" s="330">
        <f>'3.4 - Plan de fabricacion'!BG16</f>
        <v>20355.571433599009</v>
      </c>
      <c r="BI10" s="330">
        <f>'3.4 - Plan de fabricacion'!BH16</f>
        <v>17164.861735113409</v>
      </c>
      <c r="BJ10" s="330">
        <f>'3.4 - Plan de fabricacion'!BI16</f>
        <v>14187.177307205216</v>
      </c>
      <c r="BK10" s="330">
        <f>'3.4 - Plan de fabricacion'!BJ16</f>
        <v>10717.049555509282</v>
      </c>
      <c r="BL10" s="330">
        <f>'3.4 - Plan de fabricacion'!BK16</f>
        <v>7539.2340716263825</v>
      </c>
      <c r="BM10" s="330">
        <f>'3.4 - Plan de fabricacion'!BL16</f>
        <v>5823.1522884316619</v>
      </c>
      <c r="BN10" s="330">
        <f>'3.4 - Plan de fabricacion'!BM16</f>
        <v>1571.6111402932329</v>
      </c>
      <c r="BO10" s="979">
        <f>'3.4 - Plan de fabricacion'!BN16</f>
        <v>5905.0025395162884</v>
      </c>
      <c r="BP10" s="329">
        <f>'3.4 - Plan de fabricacion'!BO16</f>
        <v>5905.0025395162884</v>
      </c>
    </row>
    <row r="11" spans="2:68" ht="15" thickBot="1">
      <c r="B11" s="455" t="s">
        <v>1143</v>
      </c>
      <c r="C11" s="1138"/>
      <c r="D11" s="946">
        <f>(D8*'1.6 - Politica de precio'!$D$45)*0.5+(C8*'1.6 - Politica de precio'!$D$45)*0.5</f>
        <v>0</v>
      </c>
      <c r="E11" s="947">
        <f>(D8*'1.6 - Politica de precio'!$D$45)*0.5+(C8*'1.6 - Politica de precio'!$D$45)*0.5</f>
        <v>0</v>
      </c>
      <c r="F11" s="947">
        <f>(E8*'1.6 - Politica de precio'!$D$45)*0.5+(D8*'1.6 - Politica de precio'!$D$45)*0.5</f>
        <v>0</v>
      </c>
      <c r="G11" s="947">
        <f>(F8*'1.6 - Politica de precio'!$D$45)*0.5+(E8*'1.6 - Politica de precio'!$D$45)*0.5</f>
        <v>2359.9772891198149</v>
      </c>
      <c r="H11" s="947">
        <f>(G8*'1.6 - Politica de precio'!$D$45)*0.5+(F8*'1.6 - Politica de precio'!$D$45)*0.5</f>
        <v>5726.5133516926999</v>
      </c>
      <c r="I11" s="947">
        <f>(H8*'1.6 - Politica de precio'!$D$45)*0.5+(G8*'1.6 - Politica de precio'!$D$45)*0.5</f>
        <v>9196.501143107178</v>
      </c>
      <c r="J11" s="947">
        <f>(I8*'1.6 - Politica de precio'!$D$45)*0.5+(H8*'1.6 - Politica de precio'!$D$45)*0.5</f>
        <v>16224.386900796906</v>
      </c>
      <c r="K11" s="947">
        <f>(J8*'1.6 - Politica de precio'!$D$45)*0.5+(I8*'1.6 - Politica de precio'!$D$45)*0.5</f>
        <v>24599.799126358361</v>
      </c>
      <c r="L11" s="947">
        <f>(K8*'1.6 - Politica de precio'!$D$45)*0.5+(J8*'1.6 - Politica de precio'!$D$45)*0.5</f>
        <v>34224.285800024954</v>
      </c>
      <c r="M11" s="947">
        <f>(L8*'1.6 - Politica de precio'!$D$45)*0.5+(K8*'1.6 - Politica de precio'!$D$45)*0.5</f>
        <v>40424.234726800431</v>
      </c>
      <c r="N11" s="947">
        <f>(M8*'1.6 - Politica de precio'!$D$45)*0.5+(L8*'1.6 - Politica de precio'!$D$45)*0.5</f>
        <v>42499.677028581827</v>
      </c>
      <c r="O11" s="947">
        <f>(N8*'1.6 - Politica de precio'!$D$45)*0.5+(M8*'1.6 - Politica de precio'!$D$45)*0.5</f>
        <v>47734.664118832414</v>
      </c>
      <c r="P11" s="920">
        <f>SUM(D11:O11)</f>
        <v>222990.03948531457</v>
      </c>
      <c r="Q11" s="950">
        <f>(O8*'1.6 - Politica de precio'!$D$45)*0.5+(N8*'1.6 - Politica de precio'!$D$45)*0.5</f>
        <v>47723.338922764669</v>
      </c>
      <c r="R11" s="950">
        <f>(Q8*'1.6 - Politica de precio'!$D$46)*0.5+(O8*'1.6 - Politica de precio'!$D$45)*0.5</f>
        <v>67122.426994485708</v>
      </c>
      <c r="S11" s="950">
        <f>(R8*'1.6 - Politica de precio'!$D$46)*0.5+(Q8*'1.6 - Politica de precio'!$D$46)*0.5</f>
        <v>90006.956213178171</v>
      </c>
      <c r="T11" s="950">
        <f>(S8*'1.6 - Politica de precio'!$D$46)*0.5+(R8*'1.6 - Politica de precio'!$D$46)*0.5</f>
        <v>97944.37578863847</v>
      </c>
      <c r="U11" s="950">
        <f>(T8*'1.6 - Politica de precio'!$D$46)*0.5+(S8*'1.6 - Politica de precio'!$D$46)*0.5</f>
        <v>103345.79349850171</v>
      </c>
      <c r="V11" s="950">
        <f>(U8*'1.6 - Politica de precio'!$D$46)*0.5+(T8*'1.6 - Politica de precio'!$D$46)*0.5</f>
        <v>102691.77507067152</v>
      </c>
      <c r="W11" s="950">
        <f>(V8*'1.6 - Politica de precio'!$D$46)*0.5+(U8*'1.6 - Politica de precio'!$D$46)*0.5</f>
        <v>110613.64370164224</v>
      </c>
      <c r="X11" s="950">
        <f>(W8*'1.6 - Politica de precio'!$D$46)*0.5+(V8*'1.6 - Politica de precio'!$D$46)*0.5</f>
        <v>116213.15757660812</v>
      </c>
      <c r="Y11" s="950">
        <f>(X8*'1.6 - Politica de precio'!$D$46)*0.5+(W8*'1.6 - Politica de precio'!$D$46)*0.5</f>
        <v>122042.5327042259</v>
      </c>
      <c r="Z11" s="950">
        <f>(Y8*'1.6 - Politica de precio'!$D$46)*0.5+(X8*'1.6 - Politica de precio'!$D$46)*0.5</f>
        <v>125106.56077525458</v>
      </c>
      <c r="AA11" s="950">
        <f>(Z8*'1.6 - Politica de precio'!$D$46)*0.5+(Y8*'1.6 - Politica de precio'!$D$46)*0.5</f>
        <v>119238.39842409939</v>
      </c>
      <c r="AB11" s="950">
        <f>(AA8*'1.6 - Politica de precio'!$D$46)*0.5+(Z8*'1.6 - Politica de precio'!$D$46)*0.5</f>
        <v>118723.19105269367</v>
      </c>
      <c r="AC11" s="1142">
        <f>SUM(Q11:AB11)</f>
        <v>1220772.1507227642</v>
      </c>
      <c r="AD11" s="950">
        <f>(AB8*'1.6 - Politica de precio'!$D$46)*0.5+(AA8*'1.6 - Politica de precio'!$D$46)*0.5</f>
        <v>109937.20110415178</v>
      </c>
      <c r="AE11" s="950">
        <f>(AD8*'1.6 - Politica de precio'!$D$47)*0.5+(AB8*'1.6 - Politica de precio'!$D$46)*0.5</f>
        <v>125115.184706587</v>
      </c>
      <c r="AF11" s="950">
        <f>(AE8*'1.6 - Politica de precio'!$D$47)*0.5+(AD8*'1.6 - Politica de precio'!$D$47)*0.5</f>
        <v>151160.54021922263</v>
      </c>
      <c r="AG11" s="950">
        <f>(AF8*'1.6 - Politica de precio'!$D$47)*0.5+(AE8*'1.6 - Politica de precio'!$D$47)*0.5</f>
        <v>164452.45589886006</v>
      </c>
      <c r="AH11" s="950">
        <f>(AG8*'1.6 - Politica de precio'!$D$47)*0.5+(AF8*'1.6 - Politica de precio'!$D$47)*0.5</f>
        <v>173485.10564370439</v>
      </c>
      <c r="AI11" s="950">
        <f>(AH8*'1.6 - Politica de precio'!$D$47)*0.5+(AG8*'1.6 - Politica de precio'!$D$47)*0.5</f>
        <v>172348.33967944403</v>
      </c>
      <c r="AJ11" s="950">
        <f>(AI8*'1.6 - Politica de precio'!$D$47)*0.5+(AH8*'1.6 - Politica de precio'!$D$47)*0.5</f>
        <v>185602.35752910853</v>
      </c>
      <c r="AK11" s="950">
        <f>(AJ8*'1.6 - Politica de precio'!$D$47)*0.5+(AI8*'1.6 - Politica de precio'!$D$47)*0.5</f>
        <v>194956.89056340494</v>
      </c>
      <c r="AL11" s="950">
        <f>(AK8*'1.6 - Politica de precio'!$D$47)*0.5+(AJ8*'1.6 - Politica de precio'!$D$47)*0.5</f>
        <v>204690.92245995405</v>
      </c>
      <c r="AM11" s="950">
        <f>(AL8*'1.6 - Politica de precio'!$D$47)*0.5+(AK8*'1.6 - Politica de precio'!$D$47)*0.5</f>
        <v>209786.89422033296</v>
      </c>
      <c r="AN11" s="950">
        <f>(AM8*'1.6 - Politica de precio'!$D$47)*0.5+(AL8*'1.6 - Politica de precio'!$D$47)*0.5</f>
        <v>199904.44537911445</v>
      </c>
      <c r="AO11" s="950">
        <f>(AN8*'1.6 - Politica de precio'!$D$47)*0.5+(AM8*'1.6 - Politica de precio'!$D$47)*0.5</f>
        <v>198998.08874998614</v>
      </c>
      <c r="AP11" s="1142">
        <f>SUM(AD11:AO11)</f>
        <v>2090438.4261538715</v>
      </c>
      <c r="AQ11" s="950">
        <f>(AO8*'1.6 - Politica de precio'!$D$47)*0.5+(AN8*'1.6 - Politica de precio'!$D$47)*0.5</f>
        <v>184235.38632129336</v>
      </c>
      <c r="AR11" s="950">
        <f>(AQ8*'1.6 - Politica de precio'!$D$48)*0.5+(AO8*'1.6 - Politica de precio'!$D$47)*0.5</f>
        <v>195539.52576601756</v>
      </c>
      <c r="AS11" s="950">
        <f>(AR8*'1.6 - Politica de precio'!$D$48)*0.5+(AQ8*'1.6 - Politica de precio'!$D$48)*0.5</f>
        <v>225077.15524852672</v>
      </c>
      <c r="AT11" s="950">
        <f>(AS8*'1.6 - Politica de precio'!$D$48)*0.5+(AR8*'1.6 - Politica de precio'!$D$48)*0.5</f>
        <v>244817.02578856124</v>
      </c>
      <c r="AU11" s="950">
        <f>(AT8*'1.6 - Politica de precio'!$D$48)*0.5+(AS8*'1.6 - Politica de precio'!$D$48)*0.5</f>
        <v>258214.57321144684</v>
      </c>
      <c r="AV11" s="950">
        <f>(AU8*'1.6 - Politica de precio'!$D$48)*0.5+(AT8*'1.6 - Politica de precio'!$D$48)*0.5</f>
        <v>256470.29180009227</v>
      </c>
      <c r="AW11" s="950">
        <f>(AV8*'1.6 - Politica de precio'!$D$48)*0.5+(AU8*'1.6 - Politica de precio'!$D$48)*0.5</f>
        <v>276137.88298819104</v>
      </c>
      <c r="AX11" s="950">
        <f>(AW8*'1.6 - Politica de precio'!$D$48)*0.5+(AV8*'1.6 - Politica de precio'!$D$48)*0.5</f>
        <v>290000.17525930319</v>
      </c>
      <c r="AY11" s="950">
        <f>(AX8*'1.6 - Politica de precio'!$D$48)*0.5+(AW8*'1.6 - Politica de precio'!$D$48)*0.5</f>
        <v>304418.74396383506</v>
      </c>
      <c r="AZ11" s="950">
        <f>(AY8*'1.6 - Politica de precio'!$D$48)*0.5+(AX8*'1.6 - Politica de precio'!$D$48)*0.5</f>
        <v>311939.54436694703</v>
      </c>
      <c r="BA11" s="950">
        <f>(AZ8*'1.6 - Politica de precio'!$D$48)*0.5+(AY8*'1.6 - Politica de precio'!$D$48)*0.5</f>
        <v>297187.94752072555</v>
      </c>
      <c r="BB11" s="950">
        <f>(BA8*'1.6 - Politica de precio'!$D$48)*0.5+(AZ8*'1.6 - Politica de precio'!$D$48)*0.5</f>
        <v>295783.09248209326</v>
      </c>
      <c r="BC11" s="1142">
        <f>SUM(AQ11:BB11)</f>
        <v>3139821.3447170323</v>
      </c>
      <c r="BD11" s="950">
        <f>(BB8*'1.6 - Politica de precio'!$D$48)*0.5+(BA8*'1.6 - Politica de precio'!$D$48)*0.5</f>
        <v>273791.78590418899</v>
      </c>
      <c r="BE11" s="950">
        <f>(BD8*'1.6 - Politica de precio'!$D$49)*0.5+(BB8*'1.6 - Politica de precio'!$D$48)*0.5</f>
        <v>280069.34037240082</v>
      </c>
      <c r="BF11" s="950">
        <f>(BE8*'1.6 - Politica de precio'!$D$49)*0.5+(BD8*'1.6 - Politica de precio'!$D$49)*0.5</f>
        <v>313461.41264194215</v>
      </c>
      <c r="BG11" s="950">
        <f>(BF8*'1.6 - Politica de precio'!$D$49)*0.5+(BE8*'1.6 - Politica de precio'!$D$49)*0.5</f>
        <v>340887.4269301226</v>
      </c>
      <c r="BH11" s="950">
        <f>(BG8*'1.6 - Politica de precio'!$D$49)*0.5+(BF8*'1.6 - Politica de precio'!$D$49)*0.5</f>
        <v>359480.20674221544</v>
      </c>
      <c r="BI11" s="950">
        <f>(BH8*'1.6 - Politica de precio'!$D$49)*0.5+(BG8*'1.6 - Politica de precio'!$D$49)*0.5</f>
        <v>356985.66935014061</v>
      </c>
      <c r="BJ11" s="950">
        <f>(BI8*'1.6 - Politica de precio'!$D$49)*0.5+(BH8*'1.6 - Politica de precio'!$D$49)*0.5</f>
        <v>384290.9791195041</v>
      </c>
      <c r="BK11" s="950">
        <f>(BJ8*'1.6 - Politica de precio'!$D$49)*0.5+(BI8*'1.6 - Politica de precio'!$D$49)*0.5</f>
        <v>403512.6189015226</v>
      </c>
      <c r="BL11" s="950">
        <f>(BK8*'1.6 - Politica de precio'!$D$49)*0.5+(BJ8*'1.6 - Politica de precio'!$D$49)*0.5</f>
        <v>423497.8545264306</v>
      </c>
      <c r="BM11" s="950">
        <f>(BL8*'1.6 - Politica de precio'!$D$49)*0.5+(BK8*'1.6 - Politica de precio'!$D$49)*0.5</f>
        <v>433887.14185229619</v>
      </c>
      <c r="BN11" s="950">
        <f>(BM8*'1.6 - Politica de precio'!$D$49)*0.5+(BL8*'1.6 - Politica de precio'!$D$49)*0.5</f>
        <v>413296.43165688601</v>
      </c>
      <c r="BO11" s="950">
        <f>(BN8*'1.6 - Politica de precio'!$D$49)*0.5+(BM8*'1.6 - Politica de precio'!$D$49)*0.5</f>
        <v>411269.99031024531</v>
      </c>
      <c r="BP11" s="1142">
        <f>SUM(BD11:BO11)</f>
        <v>4394430.8583078953</v>
      </c>
    </row>
    <row r="12" spans="2:68" ht="15" thickBot="1">
      <c r="B12" s="1145"/>
      <c r="C12" s="1145"/>
      <c r="D12" s="1146"/>
      <c r="E12" s="1147"/>
      <c r="F12" s="1147"/>
      <c r="G12" s="1147"/>
      <c r="H12" s="1147"/>
      <c r="I12" s="1147"/>
      <c r="J12" s="1147"/>
      <c r="K12" s="1147"/>
      <c r="L12" s="1147"/>
      <c r="M12" s="1147"/>
      <c r="N12" s="1147"/>
      <c r="O12" s="1148"/>
      <c r="P12" s="1149"/>
      <c r="Q12" s="1150"/>
      <c r="R12" s="1151"/>
      <c r="S12" s="1151"/>
      <c r="T12" s="1151"/>
      <c r="U12" s="1151"/>
      <c r="V12" s="1151"/>
      <c r="W12" s="1151"/>
      <c r="X12" s="1151"/>
      <c r="Y12" s="1151"/>
      <c r="Z12" s="1151"/>
      <c r="AA12" s="1151"/>
      <c r="AB12" s="1152"/>
      <c r="AC12" s="1153"/>
      <c r="AD12" s="1150"/>
      <c r="AE12" s="1150"/>
      <c r="AF12" s="1150"/>
      <c r="AG12" s="1150"/>
      <c r="AH12" s="1150"/>
      <c r="AI12" s="1150"/>
      <c r="AJ12" s="1150"/>
      <c r="AK12" s="1150"/>
      <c r="AL12" s="1150"/>
      <c r="AM12" s="1150"/>
      <c r="AN12" s="1150"/>
      <c r="AO12" s="1154"/>
      <c r="AP12" s="1153"/>
      <c r="AQ12" s="1150"/>
      <c r="AR12" s="1151"/>
      <c r="AS12" s="1151"/>
      <c r="AT12" s="1151"/>
      <c r="AU12" s="1151"/>
      <c r="AV12" s="1151"/>
      <c r="AW12" s="1151"/>
      <c r="AX12" s="1151"/>
      <c r="AY12" s="1151"/>
      <c r="AZ12" s="1151"/>
      <c r="BA12" s="1151"/>
      <c r="BB12" s="1152"/>
      <c r="BC12" s="1153"/>
      <c r="BD12" s="1150"/>
      <c r="BE12" s="1151"/>
      <c r="BF12" s="1151"/>
      <c r="BG12" s="1151"/>
      <c r="BH12" s="1151"/>
      <c r="BI12" s="1151"/>
      <c r="BJ12" s="1151"/>
      <c r="BK12" s="1151"/>
      <c r="BL12" s="1151"/>
      <c r="BM12" s="1151"/>
      <c r="BN12" s="1151"/>
      <c r="BO12" s="1152"/>
      <c r="BP12" s="1149"/>
    </row>
    <row r="13" spans="2:68" ht="15" thickBot="1">
      <c r="B13" s="1119" t="s">
        <v>1144</v>
      </c>
      <c r="C13" s="312"/>
      <c r="D13" s="1122">
        <f>D9*'3.6 - Costos MP'!$F$27</f>
        <v>0</v>
      </c>
      <c r="E13" s="926">
        <f>E9*'3.6 - Costos MP'!$F$27</f>
        <v>0</v>
      </c>
      <c r="F13" s="926">
        <f>F9*'3.6 - Costos MP'!$C$38</f>
        <v>23518.623030713428</v>
      </c>
      <c r="G13" s="926">
        <f>G9*'3.6 - Costos MP'!$C$38</f>
        <v>21380.566391557659</v>
      </c>
      <c r="H13" s="926">
        <f>H9*'3.6 - Costos MP'!$C$38</f>
        <v>22449.594711135542</v>
      </c>
      <c r="I13" s="926">
        <f>I9*'3.6 - Costos MP'!$C$38</f>
        <v>21380.566391557659</v>
      </c>
      <c r="J13" s="926">
        <f>J9*'3.6 - Costos MP'!$C$38</f>
        <v>22716.851791030014</v>
      </c>
      <c r="K13" s="926">
        <f>K9*'3.6 - Costos MP'!$C$38</f>
        <v>24988.536970133013</v>
      </c>
      <c r="L13" s="926">
        <f>L9*'3.6 - Costos MP'!$C$38</f>
        <v>23852.69438058151</v>
      </c>
      <c r="M13" s="926">
        <f>M9*'3.6 - Costos MP'!$C$38</f>
        <v>23852.69438058151</v>
      </c>
      <c r="N13" s="926">
        <f>N9*'3.6 - Costos MP'!$C$38</f>
        <v>22716.851791030014</v>
      </c>
      <c r="O13" s="1123">
        <f>O9*'3.6 - Costos MP'!$C$38</f>
        <v>24988.536970133013</v>
      </c>
      <c r="P13" s="927">
        <f>SUM(D13:O13)</f>
        <v>231845.51680845337</v>
      </c>
      <c r="Q13" s="926">
        <f>Q9*'3.6 - Costos MP'!$C$39</f>
        <v>49902.081603647639</v>
      </c>
      <c r="R13" s="926">
        <f>R9*'3.6 - Costos MP'!$C$39</f>
        <v>47525.792003473936</v>
      </c>
      <c r="S13" s="926">
        <f>S9*'3.6 - Costos MP'!$C$39</f>
        <v>52278.371203821334</v>
      </c>
      <c r="T13" s="926">
        <f>T9*'3.6 - Costos MP'!$C$39</f>
        <v>47525.792003473936</v>
      </c>
      <c r="U13" s="926">
        <f>U9*'3.6 - Costos MP'!$C$39</f>
        <v>49902.081603647639</v>
      </c>
      <c r="V13" s="926">
        <f>V9*'3.6 - Costos MP'!$C$39</f>
        <v>47525.792003473936</v>
      </c>
      <c r="W13" s="926">
        <f>W9*'3.6 - Costos MP'!$C$39</f>
        <v>47525.792003473936</v>
      </c>
      <c r="X13" s="926">
        <f>X9*'3.6 - Costos MP'!$C$39</f>
        <v>52278.371203821334</v>
      </c>
      <c r="Y13" s="926">
        <f>Y9*'3.6 - Costos MP'!$C$39</f>
        <v>49902.081603647639</v>
      </c>
      <c r="Z13" s="926">
        <f>Z9*'3.6 - Costos MP'!$C$39</f>
        <v>49902.081603647639</v>
      </c>
      <c r="AA13" s="926">
        <f>AA9*'3.6 - Costos MP'!$C$39</f>
        <v>47525.792003473936</v>
      </c>
      <c r="AB13" s="928">
        <f>AB9*'3.6 - Costos MP'!$C$39</f>
        <v>52278.371203821334</v>
      </c>
      <c r="AC13" s="927">
        <f>SUM(Q13:AB13)</f>
        <v>594072.40004342422</v>
      </c>
      <c r="AD13" s="926">
        <f>AD9*'3.6 - Costos MP'!$C$40</f>
        <v>101999.85479785578</v>
      </c>
      <c r="AE13" s="1108">
        <f>AE9*'3.6 - Costos MP'!$C$40</f>
        <v>97142.718855100728</v>
      </c>
      <c r="AF13" s="1108">
        <f>AF9*'3.6 - Costos MP'!$C$40</f>
        <v>106856.99074061081</v>
      </c>
      <c r="AG13" s="1108">
        <f>AG9*'3.6 - Costos MP'!$C$40</f>
        <v>97142.718855100728</v>
      </c>
      <c r="AH13" s="1108">
        <f>AH9*'3.6 - Costos MP'!$C$40</f>
        <v>101999.85479785578</v>
      </c>
      <c r="AI13" s="1108">
        <f>AI9*'3.6 - Costos MP'!$C$40</f>
        <v>97142.718855100728</v>
      </c>
      <c r="AJ13" s="1108">
        <f>AJ9*'3.6 - Costos MP'!$C$40</f>
        <v>97142.718855100728</v>
      </c>
      <c r="AK13" s="1108">
        <f>AK9*'3.6 - Costos MP'!$C$40</f>
        <v>106856.99074061081</v>
      </c>
      <c r="AL13" s="1108">
        <f>AL9*'3.6 - Costos MP'!$C$40</f>
        <v>101999.85479785578</v>
      </c>
      <c r="AM13" s="1108">
        <f>AM9*'3.6 - Costos MP'!$C$40</f>
        <v>101999.85479785578</v>
      </c>
      <c r="AN13" s="1108">
        <f>AN9*'3.6 - Costos MP'!$C$40</f>
        <v>97142.718855100728</v>
      </c>
      <c r="AO13" s="1109">
        <f>AO9*'3.6 - Costos MP'!$C$40</f>
        <v>106856.99074061081</v>
      </c>
      <c r="AP13" s="927">
        <f>SUM(AD13:AO13)</f>
        <v>1214283.985688759</v>
      </c>
      <c r="AQ13" s="926">
        <f>AQ9*'3.6 - Costos MP'!$C$41</f>
        <v>107838.46717593995</v>
      </c>
      <c r="AR13" s="1108">
        <f>AR9*'3.6 - Costos MP'!$C$41</f>
        <v>102703.30207232376</v>
      </c>
      <c r="AS13" s="1108">
        <f>AS9*'3.6 - Costos MP'!$C$41</f>
        <v>112973.63227955613</v>
      </c>
      <c r="AT13" s="1108">
        <f>AT9*'3.6 - Costos MP'!$C$41</f>
        <v>102703.30207232376</v>
      </c>
      <c r="AU13" s="1108">
        <f>AU9*'3.6 - Costos MP'!$C$41</f>
        <v>107838.46717593995</v>
      </c>
      <c r="AV13" s="1108">
        <f>AV9*'3.6 - Costos MP'!$C$41</f>
        <v>102703.30207232376</v>
      </c>
      <c r="AW13" s="1108">
        <f>AW9*'3.6 - Costos MP'!$C$41</f>
        <v>102703.30207232376</v>
      </c>
      <c r="AX13" s="1108">
        <f>AX9*'3.6 - Costos MP'!$C$41</f>
        <v>112973.63227955613</v>
      </c>
      <c r="AY13" s="1108">
        <f>AY9*'3.6 - Costos MP'!$C$41</f>
        <v>107838.46717593995</v>
      </c>
      <c r="AZ13" s="1108">
        <f>AZ9*'3.6 - Costos MP'!$C$41</f>
        <v>107838.46717593995</v>
      </c>
      <c r="BA13" s="1108">
        <f>BA9*'3.6 - Costos MP'!$C$41</f>
        <v>102703.30207232376</v>
      </c>
      <c r="BB13" s="1109">
        <f>BB9*'3.6 - Costos MP'!$C$41</f>
        <v>112973.63227955613</v>
      </c>
      <c r="BC13" s="927">
        <f>SUM(AQ13:BB13)</f>
        <v>1283791.2759040468</v>
      </c>
      <c r="BD13" s="926">
        <f>BD9*'3.6 - Costos MP'!$C$42</f>
        <v>165316.37018071592</v>
      </c>
      <c r="BE13" s="1108">
        <f>BE9*'3.6 - Costos MP'!$C$42</f>
        <v>157444.16207687231</v>
      </c>
      <c r="BF13" s="1108">
        <f>BF9*'3.6 - Costos MP'!$C$42</f>
        <v>173188.57828455954</v>
      </c>
      <c r="BG13" s="1108">
        <f>BG9*'3.6 - Costos MP'!$C$42</f>
        <v>157444.16207687231</v>
      </c>
      <c r="BH13" s="1108">
        <f>BH9*'3.6 - Costos MP'!$C$42</f>
        <v>165316.37018071592</v>
      </c>
      <c r="BI13" s="1108">
        <f>BI9*'3.6 - Costos MP'!$C$42</f>
        <v>157444.16207687231</v>
      </c>
      <c r="BJ13" s="1108">
        <f>BJ9*'3.6 - Costos MP'!$C$42</f>
        <v>157444.16207687231</v>
      </c>
      <c r="BK13" s="1108">
        <f>BK9*'3.6 - Costos MP'!$C$42</f>
        <v>173188.57828455954</v>
      </c>
      <c r="BL13" s="1108">
        <f>BL9*'3.6 - Costos MP'!$C$42</f>
        <v>165316.37018071592</v>
      </c>
      <c r="BM13" s="1108">
        <f>BM9*'3.6 - Costos MP'!$C$42</f>
        <v>165316.37018071592</v>
      </c>
      <c r="BN13" s="1108">
        <f>BN9*'3.6 - Costos MP'!$C$42</f>
        <v>157444.16207687231</v>
      </c>
      <c r="BO13" s="1109">
        <f>BO9*'3.6 - Costos MP'!$C$42</f>
        <v>173188.57828455954</v>
      </c>
      <c r="BP13" s="927">
        <f>SUM(BD13:BO13)</f>
        <v>1968052.0259609038</v>
      </c>
    </row>
    <row r="14" spans="2:68" ht="15" thickBot="1">
      <c r="B14" s="1380" t="s">
        <v>1145</v>
      </c>
      <c r="C14" s="463" t="s">
        <v>675</v>
      </c>
      <c r="D14" s="1143">
        <f>'3.7 - Costos MOD'!$F$70</f>
        <v>1554.8859564757483</v>
      </c>
      <c r="E14" s="930">
        <f>'3.7 - Costos MOD'!$F$70</f>
        <v>1554.8859564757483</v>
      </c>
      <c r="F14" s="930">
        <f>'3.7 - Costos MOD'!$F$70</f>
        <v>1554.8859564757483</v>
      </c>
      <c r="G14" s="930">
        <f>'3.7 - Costos MOD'!$F$70</f>
        <v>1554.8859564757483</v>
      </c>
      <c r="H14" s="930">
        <f>'3.7 - Costos MOD'!$F$70</f>
        <v>1554.8859564757483</v>
      </c>
      <c r="I14" s="930">
        <f>'3.7 - Costos MOD'!$F$70</f>
        <v>1554.8859564757483</v>
      </c>
      <c r="J14" s="930">
        <f>'3.7 - Costos MOD'!$F$70</f>
        <v>1554.8859564757483</v>
      </c>
      <c r="K14" s="930">
        <f>'3.7 - Costos MOD'!$F$70</f>
        <v>1554.8859564757483</v>
      </c>
      <c r="L14" s="930">
        <f>'3.7 - Costos MOD'!$F$70</f>
        <v>1554.8859564757483</v>
      </c>
      <c r="M14" s="930">
        <f>'3.7 - Costos MOD'!$F$70</f>
        <v>1554.8859564757483</v>
      </c>
      <c r="N14" s="930">
        <f>'3.7 - Costos MOD'!$F$70</f>
        <v>1554.8859564757483</v>
      </c>
      <c r="O14" s="1144">
        <f>'3.7 - Costos MOD'!$F$70</f>
        <v>1554.8859564757483</v>
      </c>
      <c r="P14" s="1141">
        <f t="shared" ref="P14:P34" si="0">SUM(D14:O14)</f>
        <v>18658.631477708976</v>
      </c>
      <c r="Q14" s="930">
        <f>'3.7 - Costos MOD'!$F$71</f>
        <v>3178.1868950364296</v>
      </c>
      <c r="R14" s="930">
        <f>'3.7 - Costos MOD'!$F$71</f>
        <v>3178.1868950364296</v>
      </c>
      <c r="S14" s="930">
        <f>'3.7 - Costos MOD'!$F$71</f>
        <v>3178.1868950364296</v>
      </c>
      <c r="T14" s="930">
        <f>'3.7 - Costos MOD'!$F$71</f>
        <v>3178.1868950364296</v>
      </c>
      <c r="U14" s="930">
        <f>'3.7 - Costos MOD'!$F$71</f>
        <v>3178.1868950364296</v>
      </c>
      <c r="V14" s="930">
        <f>'3.7 - Costos MOD'!$F$71</f>
        <v>3178.1868950364296</v>
      </c>
      <c r="W14" s="930">
        <f>'3.7 - Costos MOD'!$F$71</f>
        <v>3178.1868950364296</v>
      </c>
      <c r="X14" s="930">
        <f>'3.7 - Costos MOD'!$F$71</f>
        <v>3178.1868950364296</v>
      </c>
      <c r="Y14" s="930">
        <f>'3.7 - Costos MOD'!$F$71</f>
        <v>3178.1868950364296</v>
      </c>
      <c r="Z14" s="930">
        <f>'3.7 - Costos MOD'!$F$71</f>
        <v>3178.1868950364296</v>
      </c>
      <c r="AA14" s="930">
        <f>'3.7 - Costos MOD'!$F$71</f>
        <v>3178.1868950364296</v>
      </c>
      <c r="AB14" s="978">
        <f>'3.7 - Costos MOD'!$F$71</f>
        <v>3178.1868950364296</v>
      </c>
      <c r="AC14" s="1141">
        <f t="shared" ref="AC14:AC34" si="1">SUM(Q14:AB14)</f>
        <v>38138.242740437156</v>
      </c>
      <c r="AD14" s="1139">
        <f>'3.7 - Costos MOD'!$F$72</f>
        <v>6496.2140134544616</v>
      </c>
      <c r="AE14" s="1139">
        <f>'3.7 - Costos MOD'!$F$72</f>
        <v>6496.2140134544616</v>
      </c>
      <c r="AF14" s="1139">
        <f>'3.7 - Costos MOD'!$F$72</f>
        <v>6496.2140134544616</v>
      </c>
      <c r="AG14" s="1139">
        <f>'3.7 - Costos MOD'!$F$72</f>
        <v>6496.2140134544616</v>
      </c>
      <c r="AH14" s="1139">
        <f>'3.7 - Costos MOD'!$F$72</f>
        <v>6496.2140134544616</v>
      </c>
      <c r="AI14" s="1139">
        <f>'3.7 - Costos MOD'!$F$72</f>
        <v>6496.2140134544616</v>
      </c>
      <c r="AJ14" s="1139">
        <f>'3.7 - Costos MOD'!$F$72</f>
        <v>6496.2140134544616</v>
      </c>
      <c r="AK14" s="1139">
        <f>'3.7 - Costos MOD'!$F$72</f>
        <v>6496.2140134544616</v>
      </c>
      <c r="AL14" s="1139">
        <f>'3.7 - Costos MOD'!$F$72</f>
        <v>6496.2140134544616</v>
      </c>
      <c r="AM14" s="1139">
        <f>'3.7 - Costos MOD'!$F$72</f>
        <v>6496.2140134544616</v>
      </c>
      <c r="AN14" s="1139">
        <f>'3.7 - Costos MOD'!$F$72</f>
        <v>6496.2140134544616</v>
      </c>
      <c r="AO14" s="1140">
        <f>'3.7 - Costos MOD'!$F$72</f>
        <v>6496.2140134544616</v>
      </c>
      <c r="AP14" s="1141">
        <f t="shared" ref="AP14:AP35" si="2">SUM(AD14:AO14)</f>
        <v>77954.568161453542</v>
      </c>
      <c r="AQ14" s="930">
        <f>'3.7 - Costos MOD'!$F$73</f>
        <v>6639.1307217504609</v>
      </c>
      <c r="AR14" s="930">
        <f>'3.7 - Costos MOD'!$F$73</f>
        <v>6639.1307217504609</v>
      </c>
      <c r="AS14" s="930">
        <f>'3.7 - Costos MOD'!$F$73</f>
        <v>6639.1307217504609</v>
      </c>
      <c r="AT14" s="930">
        <f>'3.7 - Costos MOD'!$F$73</f>
        <v>6639.1307217504609</v>
      </c>
      <c r="AU14" s="930">
        <f>'3.7 - Costos MOD'!$F$73</f>
        <v>6639.1307217504609</v>
      </c>
      <c r="AV14" s="930">
        <f>'3.7 - Costos MOD'!$F$73</f>
        <v>6639.1307217504609</v>
      </c>
      <c r="AW14" s="930">
        <f>'3.7 - Costos MOD'!$F$73</f>
        <v>6639.1307217504609</v>
      </c>
      <c r="AX14" s="930">
        <f>'3.7 - Costos MOD'!$F$73</f>
        <v>6639.1307217504609</v>
      </c>
      <c r="AY14" s="930">
        <f>'3.7 - Costos MOD'!$F$73</f>
        <v>6639.1307217504609</v>
      </c>
      <c r="AZ14" s="930">
        <f>'3.7 - Costos MOD'!$F$73</f>
        <v>6639.1307217504609</v>
      </c>
      <c r="BA14" s="930">
        <f>'3.7 - Costos MOD'!$F$73</f>
        <v>6639.1307217504609</v>
      </c>
      <c r="BB14" s="978">
        <f>'3.7 - Costos MOD'!$F$73</f>
        <v>6639.1307217504609</v>
      </c>
      <c r="BC14" s="1141">
        <f t="shared" ref="BC14:BC35" si="3">SUM(AQ14:BB14)</f>
        <v>79669.568661005527</v>
      </c>
      <c r="BD14" s="930">
        <f>'3.7 - Costos MOD'!$F$74</f>
        <v>10177.787396443457</v>
      </c>
      <c r="BE14" s="930">
        <f>'3.7 - Costos MOD'!$F$74</f>
        <v>10177.787396443457</v>
      </c>
      <c r="BF14" s="930">
        <f>'3.7 - Costos MOD'!$F$74</f>
        <v>10177.787396443457</v>
      </c>
      <c r="BG14" s="930">
        <f>'3.7 - Costos MOD'!$F$74</f>
        <v>10177.787396443457</v>
      </c>
      <c r="BH14" s="930">
        <f>'3.7 - Costos MOD'!$F$74</f>
        <v>10177.787396443457</v>
      </c>
      <c r="BI14" s="930">
        <f>'3.7 - Costos MOD'!$F$74</f>
        <v>10177.787396443457</v>
      </c>
      <c r="BJ14" s="930">
        <f>'3.7 - Costos MOD'!$F$74</f>
        <v>10177.787396443457</v>
      </c>
      <c r="BK14" s="930">
        <f>'3.7 - Costos MOD'!$F$74</f>
        <v>10177.787396443457</v>
      </c>
      <c r="BL14" s="930">
        <f>'3.7 - Costos MOD'!$F$74</f>
        <v>10177.787396443457</v>
      </c>
      <c r="BM14" s="930">
        <f>'3.7 - Costos MOD'!$F$74</f>
        <v>10177.787396443457</v>
      </c>
      <c r="BN14" s="930">
        <f>'3.7 - Costos MOD'!$F$74</f>
        <v>10177.787396443457</v>
      </c>
      <c r="BO14" s="978">
        <f>'3.7 - Costos MOD'!$F$74</f>
        <v>10177.787396443457</v>
      </c>
      <c r="BP14" s="1141">
        <f>SUM(BD14:BO14)</f>
        <v>122133.44875732147</v>
      </c>
    </row>
    <row r="15" spans="2:68">
      <c r="B15" s="1739" t="s">
        <v>1146</v>
      </c>
      <c r="C15" s="313" t="s">
        <v>676</v>
      </c>
      <c r="D15" s="958">
        <f>'3.8 - Costos CCP '!$F$35</f>
        <v>1624.4423187882423</v>
      </c>
      <c r="E15" s="931">
        <f>'3.8 - Costos CCP '!$F$35</f>
        <v>1624.4423187882423</v>
      </c>
      <c r="F15" s="931">
        <f>'3.8 - Costos CCP '!$F$35</f>
        <v>1624.4423187882423</v>
      </c>
      <c r="G15" s="931">
        <f>'3.8 - Costos CCP '!$F$35</f>
        <v>1624.4423187882423</v>
      </c>
      <c r="H15" s="931">
        <f>'3.8 - Costos CCP '!$F$35</f>
        <v>1624.4423187882423</v>
      </c>
      <c r="I15" s="931">
        <f>'3.8 - Costos CCP '!$F$35</f>
        <v>1624.4423187882423</v>
      </c>
      <c r="J15" s="931">
        <f>'3.8 - Costos CCP '!$F$35</f>
        <v>1624.4423187882423</v>
      </c>
      <c r="K15" s="931">
        <f>'3.8 - Costos CCP '!$F$35</f>
        <v>1624.4423187882423</v>
      </c>
      <c r="L15" s="931">
        <f>'3.8 - Costos CCP '!$F$35</f>
        <v>1624.4423187882423</v>
      </c>
      <c r="M15" s="931">
        <f>'3.8 - Costos CCP '!$F$35</f>
        <v>1624.4423187882423</v>
      </c>
      <c r="N15" s="931">
        <f>'3.8 - Costos CCP '!$F$35</f>
        <v>1624.4423187882423</v>
      </c>
      <c r="O15" s="1124">
        <f>'3.8 - Costos CCP '!$F$35</f>
        <v>1624.4423187882423</v>
      </c>
      <c r="P15" s="932">
        <f t="shared" si="0"/>
        <v>19493.307825458909</v>
      </c>
      <c r="Q15" s="931">
        <f>'3.8 - Costos CCP '!$F$36</f>
        <v>3320.3600996031673</v>
      </c>
      <c r="R15" s="931">
        <f>'3.8 - Costos CCP '!$F$36</f>
        <v>3320.3600996031673</v>
      </c>
      <c r="S15" s="931">
        <f>'3.8 - Costos CCP '!$F$36</f>
        <v>3320.3600996031673</v>
      </c>
      <c r="T15" s="931">
        <f>'3.8 - Costos CCP '!$F$36</f>
        <v>3320.3600996031673</v>
      </c>
      <c r="U15" s="931">
        <f>'3.8 - Costos CCP '!$F$36</f>
        <v>3320.3600996031673</v>
      </c>
      <c r="V15" s="931">
        <f>'3.8 - Costos CCP '!$F$36</f>
        <v>3320.3600996031673</v>
      </c>
      <c r="W15" s="931">
        <f>'3.8 - Costos CCP '!$F$36</f>
        <v>3320.3600996031673</v>
      </c>
      <c r="X15" s="931">
        <f>'3.8 - Costos CCP '!$F$36</f>
        <v>3320.3600996031673</v>
      </c>
      <c r="Y15" s="931">
        <f>'3.8 - Costos CCP '!$F$36</f>
        <v>3320.3600996031673</v>
      </c>
      <c r="Z15" s="931">
        <f>'3.8 - Costos CCP '!$F$36</f>
        <v>3320.3600996031673</v>
      </c>
      <c r="AA15" s="931">
        <f>'3.8 - Costos CCP '!$F$36</f>
        <v>3320.3600996031673</v>
      </c>
      <c r="AB15" s="944">
        <f>'3.8 - Costos CCP '!$F$36</f>
        <v>3320.3600996031673</v>
      </c>
      <c r="AC15" s="932">
        <f t="shared" si="1"/>
        <v>39844.321195238008</v>
      </c>
      <c r="AD15" s="933">
        <f>'3.8 - Costos CCP '!$F$37</f>
        <v>3393.408021794437</v>
      </c>
      <c r="AE15" s="933">
        <f>'3.8 - Costos CCP '!$F$37</f>
        <v>3393.408021794437</v>
      </c>
      <c r="AF15" s="933">
        <f>'3.8 - Costos CCP '!$F$37</f>
        <v>3393.408021794437</v>
      </c>
      <c r="AG15" s="933">
        <f>'3.8 - Costos CCP '!$F$37</f>
        <v>3393.408021794437</v>
      </c>
      <c r="AH15" s="933">
        <f>'3.8 - Costos CCP '!$F$37</f>
        <v>3393.408021794437</v>
      </c>
      <c r="AI15" s="933">
        <f>'3.8 - Costos CCP '!$F$37</f>
        <v>3393.408021794437</v>
      </c>
      <c r="AJ15" s="933">
        <f>'3.8 - Costos CCP '!$F$37</f>
        <v>3393.408021794437</v>
      </c>
      <c r="AK15" s="933">
        <f>'3.8 - Costos CCP '!$F$37</f>
        <v>3393.408021794437</v>
      </c>
      <c r="AL15" s="933">
        <f>'3.8 - Costos CCP '!$F$37</f>
        <v>3393.408021794437</v>
      </c>
      <c r="AM15" s="933">
        <f>'3.8 - Costos CCP '!$F$37</f>
        <v>3393.408021794437</v>
      </c>
      <c r="AN15" s="933">
        <f>'3.8 - Costos CCP '!$F$37</f>
        <v>3393.408021794437</v>
      </c>
      <c r="AO15" s="973">
        <f>'3.8 - Costos CCP '!$F$37</f>
        <v>3393.408021794437</v>
      </c>
      <c r="AP15" s="932">
        <f t="shared" si="2"/>
        <v>40720.896261533235</v>
      </c>
      <c r="AQ15" s="931">
        <f>'3.8 - Costos CCP '!$F$38</f>
        <v>3468.0629982739147</v>
      </c>
      <c r="AR15" s="931">
        <f>'3.8 - Costos CCP '!$F$38</f>
        <v>3468.0629982739147</v>
      </c>
      <c r="AS15" s="931">
        <f>'3.8 - Costos CCP '!$F$38</f>
        <v>3468.0629982739147</v>
      </c>
      <c r="AT15" s="931">
        <f>'3.8 - Costos CCP '!$F$38</f>
        <v>3468.0629982739147</v>
      </c>
      <c r="AU15" s="931">
        <f>'3.8 - Costos CCP '!$F$38</f>
        <v>3468.0629982739147</v>
      </c>
      <c r="AV15" s="931">
        <f>'3.8 - Costos CCP '!$F$38</f>
        <v>3468.0629982739147</v>
      </c>
      <c r="AW15" s="931">
        <f>'3.8 - Costos CCP '!$F$38</f>
        <v>3468.0629982739147</v>
      </c>
      <c r="AX15" s="931">
        <f>'3.8 - Costos CCP '!$F$38</f>
        <v>3468.0629982739147</v>
      </c>
      <c r="AY15" s="931">
        <f>'3.8 - Costos CCP '!$F$38</f>
        <v>3468.0629982739147</v>
      </c>
      <c r="AZ15" s="931">
        <f>'3.8 - Costos CCP '!$F$38</f>
        <v>3468.0629982739147</v>
      </c>
      <c r="BA15" s="931">
        <f>'3.8 - Costos CCP '!$F$38</f>
        <v>3468.0629982739147</v>
      </c>
      <c r="BB15" s="944">
        <f>'3.8 - Costos CCP '!$F$38</f>
        <v>3468.0629982739147</v>
      </c>
      <c r="BC15" s="932">
        <f t="shared" si="3"/>
        <v>41616.755979286972</v>
      </c>
      <c r="BD15" s="931">
        <f>'3.8 - Costos CCP '!$F$39</f>
        <v>5316.5405763539111</v>
      </c>
      <c r="BE15" s="931">
        <f>'3.8 - Costos CCP '!$F$39</f>
        <v>5316.5405763539111</v>
      </c>
      <c r="BF15" s="931">
        <f>'3.8 - Costos CCP '!$F$39</f>
        <v>5316.5405763539111</v>
      </c>
      <c r="BG15" s="931">
        <f>'3.8 - Costos CCP '!$F$39</f>
        <v>5316.5405763539111</v>
      </c>
      <c r="BH15" s="931">
        <f>'3.8 - Costos CCP '!$F$39</f>
        <v>5316.5405763539111</v>
      </c>
      <c r="BI15" s="931">
        <f>'3.8 - Costos CCP '!$F$39</f>
        <v>5316.5405763539111</v>
      </c>
      <c r="BJ15" s="931">
        <f>'3.8 - Costos CCP '!$F$39</f>
        <v>5316.5405763539111</v>
      </c>
      <c r="BK15" s="931">
        <f>'3.8 - Costos CCP '!$F$39</f>
        <v>5316.5405763539111</v>
      </c>
      <c r="BL15" s="931">
        <f>'3.8 - Costos CCP '!$F$39</f>
        <v>5316.5405763539111</v>
      </c>
      <c r="BM15" s="931">
        <f>'3.8 - Costos CCP '!$F$39</f>
        <v>5316.5405763539111</v>
      </c>
      <c r="BN15" s="931">
        <f>'3.8 - Costos CCP '!$F$39</f>
        <v>5316.5405763539111</v>
      </c>
      <c r="BO15" s="944">
        <f>'3.8 - Costos CCP '!$F$39</f>
        <v>5316.5405763539111</v>
      </c>
      <c r="BP15" s="932">
        <f t="shared" ref="BP15:BP21" si="4">SUM(BD15:BO15)</f>
        <v>63798.486916246919</v>
      </c>
    </row>
    <row r="16" spans="2:68" ht="15" thickBot="1">
      <c r="B16" s="1740"/>
      <c r="C16" s="462" t="s">
        <v>1147</v>
      </c>
      <c r="D16" s="965">
        <f>D9*'3.8 - Costos CCP '!$E$15</f>
        <v>0</v>
      </c>
      <c r="E16" s="946">
        <f>E9*'3.8 - Costos CCP '!$E$15</f>
        <v>0</v>
      </c>
      <c r="F16" s="946">
        <f>F9*'3.8 - Costos CCP '!$E$15</f>
        <v>1070.321490479861</v>
      </c>
      <c r="G16" s="946">
        <f>G9*'3.8 - Costos CCP '!$E$15</f>
        <v>973.01953679987355</v>
      </c>
      <c r="H16" s="946">
        <f>H9*'3.8 - Costos CCP '!$E$15</f>
        <v>1021.6705136398673</v>
      </c>
      <c r="I16" s="946">
        <f>I9*'3.8 - Costos CCP '!$E$15</f>
        <v>973.01953679987355</v>
      </c>
      <c r="J16" s="946">
        <f>J9*'3.8 - Costos CCP '!$E$15</f>
        <v>1033.8332578498657</v>
      </c>
      <c r="K16" s="946">
        <f>K9*'3.8 - Costos CCP '!$E$15</f>
        <v>1137.2165836348522</v>
      </c>
      <c r="L16" s="946">
        <f>L9*'3.8 - Costos CCP '!$E$15</f>
        <v>1085.5249207423587</v>
      </c>
      <c r="M16" s="946">
        <f>M9*'3.8 - Costos CCP '!$E$15</f>
        <v>1085.5249207423587</v>
      </c>
      <c r="N16" s="946">
        <f>N9*'3.8 - Costos CCP '!$E$15</f>
        <v>1033.8332578498657</v>
      </c>
      <c r="O16" s="1125">
        <f>O9*'3.8 - Costos CCP '!$E$15</f>
        <v>1137.2165836348522</v>
      </c>
      <c r="P16" s="920">
        <f t="shared" si="0"/>
        <v>10551.180602173628</v>
      </c>
      <c r="Q16" s="946">
        <f>Q9*'3.8 - Costos CCP '!$E$16</f>
        <v>648.07182500709121</v>
      </c>
      <c r="R16" s="965">
        <f>R9*'3.8 - Costos CCP '!$E$16</f>
        <v>617.21126191151541</v>
      </c>
      <c r="S16" s="965">
        <f>S9*'3.8 - Costos CCP '!$E$16</f>
        <v>678.93238810266701</v>
      </c>
      <c r="T16" s="965">
        <f>T9*'3.8 - Costos CCP '!$E$16</f>
        <v>617.21126191151541</v>
      </c>
      <c r="U16" s="965">
        <f>U9*'3.8 - Costos CCP '!$E$16</f>
        <v>648.07182500709121</v>
      </c>
      <c r="V16" s="965">
        <f>V9*'3.8 - Costos CCP '!$E$16</f>
        <v>617.21126191151541</v>
      </c>
      <c r="W16" s="965">
        <f>W9*'3.8 - Costos CCP '!$E$16</f>
        <v>617.21126191151541</v>
      </c>
      <c r="X16" s="965">
        <f>X9*'3.8 - Costos CCP '!$E$16</f>
        <v>678.93238810266701</v>
      </c>
      <c r="Y16" s="965">
        <f>Y9*'3.8 - Costos CCP '!$E$16</f>
        <v>648.07182500709121</v>
      </c>
      <c r="Z16" s="965">
        <f>Z9*'3.8 - Costos CCP '!$E$16</f>
        <v>648.07182500709121</v>
      </c>
      <c r="AA16" s="965">
        <f>AA9*'3.8 - Costos CCP '!$E$16</f>
        <v>617.21126191151541</v>
      </c>
      <c r="AB16" s="966">
        <f>AB9*'3.8 - Costos CCP '!$E$16</f>
        <v>678.93238810266701</v>
      </c>
      <c r="AC16" s="920">
        <f t="shared" si="1"/>
        <v>7715.1407738939424</v>
      </c>
      <c r="AD16" s="950">
        <f>AD9*'3.8 - Costos CCP '!$E$17</f>
        <v>1627.2589640725985</v>
      </c>
      <c r="AE16" s="950">
        <f>AE9*'3.8 - Costos CCP '!$E$17</f>
        <v>1549.7704419739032</v>
      </c>
      <c r="AF16" s="950">
        <f>AF9*'3.8 - Costos CCP '!$E$17</f>
        <v>1704.7474861712938</v>
      </c>
      <c r="AG16" s="950">
        <f>AG9*'3.8 - Costos CCP '!$E$17</f>
        <v>1549.7704419739032</v>
      </c>
      <c r="AH16" s="950">
        <f>AH9*'3.8 - Costos CCP '!$E$17</f>
        <v>1627.2589640725985</v>
      </c>
      <c r="AI16" s="950">
        <f>AI9*'3.8 - Costos CCP '!$E$17</f>
        <v>1549.7704419739032</v>
      </c>
      <c r="AJ16" s="950">
        <f>AJ9*'3.8 - Costos CCP '!$E$17</f>
        <v>1549.7704419739032</v>
      </c>
      <c r="AK16" s="950">
        <f>AK9*'3.8 - Costos CCP '!$E$17</f>
        <v>1704.7474861712938</v>
      </c>
      <c r="AL16" s="950">
        <f>AL9*'3.8 - Costos CCP '!$E$17</f>
        <v>1627.2589640725985</v>
      </c>
      <c r="AM16" s="950">
        <f>AM9*'3.8 - Costos CCP '!$E$17</f>
        <v>1627.2589640725985</v>
      </c>
      <c r="AN16" s="950">
        <f>AN9*'3.8 - Costos CCP '!$E$17</f>
        <v>1549.7704419739032</v>
      </c>
      <c r="AO16" s="967">
        <f>AO9*'3.8 - Costos CCP '!$E$17</f>
        <v>1704.7474861712938</v>
      </c>
      <c r="AP16" s="920">
        <f t="shared" si="2"/>
        <v>19372.130524673794</v>
      </c>
      <c r="AQ16" s="946">
        <f>AQ9*'3.8 - Costos CCP '!$E$18</f>
        <v>1229.3393508656152</v>
      </c>
      <c r="AR16" s="965">
        <f>AR9*'3.8 - Costos CCP '!$E$18</f>
        <v>1170.7993817767763</v>
      </c>
      <c r="AS16" s="965">
        <f>AS9*'3.8 - Costos CCP '!$E$18</f>
        <v>1287.8793199544539</v>
      </c>
      <c r="AT16" s="965">
        <f>AT9*'3.8 - Costos CCP '!$E$18</f>
        <v>1170.7993817767763</v>
      </c>
      <c r="AU16" s="965">
        <f>AU9*'3.8 - Costos CCP '!$E$18</f>
        <v>1229.3393508656152</v>
      </c>
      <c r="AV16" s="965">
        <f>AV9*'3.8 - Costos CCP '!$E$18</f>
        <v>1170.7993817767763</v>
      </c>
      <c r="AW16" s="965">
        <f>AW9*'3.8 - Costos CCP '!$E$18</f>
        <v>1170.7993817767763</v>
      </c>
      <c r="AX16" s="965">
        <f>AX9*'3.8 - Costos CCP '!$E$18</f>
        <v>1287.8793199544539</v>
      </c>
      <c r="AY16" s="965">
        <f>AY9*'3.8 - Costos CCP '!$E$18</f>
        <v>1229.3393508656152</v>
      </c>
      <c r="AZ16" s="965">
        <f>AZ9*'3.8 - Costos CCP '!$E$18</f>
        <v>1229.3393508656152</v>
      </c>
      <c r="BA16" s="965">
        <f>BA9*'3.8 - Costos CCP '!$E$18</f>
        <v>1170.7993817767763</v>
      </c>
      <c r="BB16" s="966">
        <f>BB9*'3.8 - Costos CCP '!$E$18</f>
        <v>1287.8793199544539</v>
      </c>
      <c r="BC16" s="920">
        <f t="shared" si="3"/>
        <v>14634.992272209705</v>
      </c>
      <c r="BD16" s="946">
        <f>BD9*'3.8 - Costos CCP '!$E$19</f>
        <v>1673.615292585511</v>
      </c>
      <c r="BE16" s="946">
        <f>BE9*'3.8 - Costos CCP '!$E$19</f>
        <v>1593.9193262719152</v>
      </c>
      <c r="BF16" s="946">
        <f>BF9*'3.8 - Costos CCP '!$E$19</f>
        <v>1753.3112588991066</v>
      </c>
      <c r="BG16" s="946">
        <f>BG9*'3.8 - Costos CCP '!$E$19</f>
        <v>1593.9193262719152</v>
      </c>
      <c r="BH16" s="946">
        <f>BH9*'3.8 - Costos CCP '!$E$19</f>
        <v>1673.615292585511</v>
      </c>
      <c r="BI16" s="946">
        <f>BI9*'3.8 - Costos CCP '!$E$19</f>
        <v>1593.9193262719152</v>
      </c>
      <c r="BJ16" s="946">
        <f>BJ9*'3.8 - Costos CCP '!$E$19</f>
        <v>1593.9193262719152</v>
      </c>
      <c r="BK16" s="946">
        <f>BK9*'3.8 - Costos CCP '!$E$19</f>
        <v>1753.3112588991066</v>
      </c>
      <c r="BL16" s="946">
        <f>BL9*'3.8 - Costos CCP '!$E$19</f>
        <v>1673.615292585511</v>
      </c>
      <c r="BM16" s="946">
        <f>BM9*'3.8 - Costos CCP '!$E$19</f>
        <v>1673.615292585511</v>
      </c>
      <c r="BN16" s="946">
        <f>BN9*'3.8 - Costos CCP '!$E$19</f>
        <v>1593.9193262719152</v>
      </c>
      <c r="BO16" s="949">
        <f>BO9*'3.8 - Costos CCP '!$E$19</f>
        <v>1753.3112588991066</v>
      </c>
      <c r="BP16" s="920">
        <f t="shared" si="4"/>
        <v>19923.991578398938</v>
      </c>
    </row>
    <row r="17" spans="2:68">
      <c r="B17" s="1727" t="s">
        <v>1148</v>
      </c>
      <c r="C17" s="313" t="s">
        <v>1149</v>
      </c>
      <c r="D17" s="958">
        <f>'3.11 - Presupuesto gastos'!$C$7</f>
        <v>2826.0674625935167</v>
      </c>
      <c r="E17" s="938">
        <f>'3.11 - Presupuesto gastos'!$C$7</f>
        <v>2826.0674625935167</v>
      </c>
      <c r="F17" s="938">
        <f>'3.11 - Presupuesto gastos'!$C$7</f>
        <v>2826.0674625935167</v>
      </c>
      <c r="G17" s="938">
        <f>'3.11 - Presupuesto gastos'!$C$7</f>
        <v>2826.0674625935167</v>
      </c>
      <c r="H17" s="938">
        <f>'3.11 - Presupuesto gastos'!$C$7</f>
        <v>2826.0674625935167</v>
      </c>
      <c r="I17" s="938">
        <f>'3.11 - Presupuesto gastos'!$C$7</f>
        <v>2826.0674625935167</v>
      </c>
      <c r="J17" s="938">
        <f>'3.11 - Presupuesto gastos'!$C$7</f>
        <v>2826.0674625935167</v>
      </c>
      <c r="K17" s="938">
        <f>'3.11 - Presupuesto gastos'!$C$7</f>
        <v>2826.0674625935167</v>
      </c>
      <c r="L17" s="938">
        <f>'3.11 - Presupuesto gastos'!$C$7</f>
        <v>2826.0674625935167</v>
      </c>
      <c r="M17" s="938">
        <f>'3.11 - Presupuesto gastos'!$C$7</f>
        <v>2826.0674625935167</v>
      </c>
      <c r="N17" s="938">
        <f>'3.11 - Presupuesto gastos'!$C$7</f>
        <v>2826.0674625935167</v>
      </c>
      <c r="O17" s="1126">
        <f>'3.11 - Presupuesto gastos'!$C$7</f>
        <v>2826.0674625935167</v>
      </c>
      <c r="P17" s="932">
        <f t="shared" si="0"/>
        <v>33912.809551122198</v>
      </c>
      <c r="Q17" s="931">
        <f>'3.11 - Presupuesto gastos'!$E$7</f>
        <v>2888.2409467705743</v>
      </c>
      <c r="R17" s="938">
        <f>'3.11 - Presupuesto gastos'!$E$7</f>
        <v>2888.2409467705743</v>
      </c>
      <c r="S17" s="938">
        <f>'3.11 - Presupuesto gastos'!$E$7</f>
        <v>2888.2409467705743</v>
      </c>
      <c r="T17" s="938">
        <f>'3.11 - Presupuesto gastos'!$E$7</f>
        <v>2888.2409467705743</v>
      </c>
      <c r="U17" s="938">
        <f>'3.11 - Presupuesto gastos'!$E$7</f>
        <v>2888.2409467705743</v>
      </c>
      <c r="V17" s="938">
        <f>'3.11 - Presupuesto gastos'!$E$7</f>
        <v>2888.2409467705743</v>
      </c>
      <c r="W17" s="938">
        <f>'3.11 - Presupuesto gastos'!$E$7</f>
        <v>2888.2409467705743</v>
      </c>
      <c r="X17" s="938">
        <f>'3.11 - Presupuesto gastos'!$E$7</f>
        <v>2888.2409467705743</v>
      </c>
      <c r="Y17" s="938">
        <f>'3.11 - Presupuesto gastos'!$E$7</f>
        <v>2888.2409467705743</v>
      </c>
      <c r="Z17" s="938">
        <f>'3.11 - Presupuesto gastos'!$E$7</f>
        <v>2888.2409467705743</v>
      </c>
      <c r="AA17" s="938">
        <f>'3.11 - Presupuesto gastos'!$E$7</f>
        <v>2888.2409467705743</v>
      </c>
      <c r="AB17" s="939">
        <f>'3.11 - Presupuesto gastos'!$E$7</f>
        <v>2888.2409467705743</v>
      </c>
      <c r="AC17" s="932">
        <f t="shared" si="1"/>
        <v>34658.891361246882</v>
      </c>
      <c r="AD17" s="933">
        <f>'3.11 - Presupuesto gastos'!$G$7</f>
        <v>2951.7822475995267</v>
      </c>
      <c r="AE17" s="969">
        <f>'3.11 - Presupuesto gastos'!$G$7</f>
        <v>2951.7822475995267</v>
      </c>
      <c r="AF17" s="969">
        <f>'3.11 - Presupuesto gastos'!$G$7</f>
        <v>2951.7822475995267</v>
      </c>
      <c r="AG17" s="969">
        <f>'3.11 - Presupuesto gastos'!$G$7</f>
        <v>2951.7822475995267</v>
      </c>
      <c r="AH17" s="969">
        <f>'3.11 - Presupuesto gastos'!$G$7</f>
        <v>2951.7822475995267</v>
      </c>
      <c r="AI17" s="969">
        <f>'3.11 - Presupuesto gastos'!$G$7</f>
        <v>2951.7822475995267</v>
      </c>
      <c r="AJ17" s="969">
        <f>'3.11 - Presupuesto gastos'!$G$7</f>
        <v>2951.7822475995267</v>
      </c>
      <c r="AK17" s="969">
        <f>'3.11 - Presupuesto gastos'!$G$7</f>
        <v>2951.7822475995267</v>
      </c>
      <c r="AL17" s="969">
        <f>'3.11 - Presupuesto gastos'!$G$7</f>
        <v>2951.7822475995267</v>
      </c>
      <c r="AM17" s="969">
        <f>'3.11 - Presupuesto gastos'!$G$7</f>
        <v>2951.7822475995267</v>
      </c>
      <c r="AN17" s="969">
        <f>'3.11 - Presupuesto gastos'!$G$7</f>
        <v>2951.7822475995267</v>
      </c>
      <c r="AO17" s="974">
        <f>'3.11 - Presupuesto gastos'!$G$7</f>
        <v>2951.7822475995267</v>
      </c>
      <c r="AP17" s="932">
        <f t="shared" si="2"/>
        <v>35421.386971194319</v>
      </c>
      <c r="AQ17" s="931">
        <f>'3.11 - Presupuesto gastos'!$I$7</f>
        <v>3016.7214570467168</v>
      </c>
      <c r="AR17" s="938">
        <f>'3.11 - Presupuesto gastos'!$I$7</f>
        <v>3016.7214570467168</v>
      </c>
      <c r="AS17" s="938">
        <f>'3.11 - Presupuesto gastos'!$I$7</f>
        <v>3016.7214570467168</v>
      </c>
      <c r="AT17" s="938">
        <f>'3.11 - Presupuesto gastos'!$I$7</f>
        <v>3016.7214570467168</v>
      </c>
      <c r="AU17" s="938">
        <f>'3.11 - Presupuesto gastos'!$I$7</f>
        <v>3016.7214570467168</v>
      </c>
      <c r="AV17" s="938">
        <f>'3.11 - Presupuesto gastos'!$I$7</f>
        <v>3016.7214570467168</v>
      </c>
      <c r="AW17" s="938">
        <f>'3.11 - Presupuesto gastos'!$I$7</f>
        <v>3016.7214570467168</v>
      </c>
      <c r="AX17" s="938">
        <f>'3.11 - Presupuesto gastos'!$I$7</f>
        <v>3016.7214570467168</v>
      </c>
      <c r="AY17" s="938">
        <f>'3.11 - Presupuesto gastos'!$I$7</f>
        <v>3016.7214570467168</v>
      </c>
      <c r="AZ17" s="938">
        <f>'3.11 - Presupuesto gastos'!$I$7</f>
        <v>3016.7214570467168</v>
      </c>
      <c r="BA17" s="938">
        <f>'3.11 - Presupuesto gastos'!$I$7</f>
        <v>3016.7214570467168</v>
      </c>
      <c r="BB17" s="939">
        <f>'3.11 - Presupuesto gastos'!$I$7</f>
        <v>3016.7214570467168</v>
      </c>
      <c r="BC17" s="932">
        <f t="shared" si="3"/>
        <v>36200.657484560608</v>
      </c>
      <c r="BD17" s="931">
        <f>'3.11 - Presupuesto gastos'!$K$7</f>
        <v>3083.0893291017446</v>
      </c>
      <c r="BE17" s="938">
        <f>'3.11 - Presupuesto gastos'!$K$7</f>
        <v>3083.0893291017446</v>
      </c>
      <c r="BF17" s="938">
        <f>'3.11 - Presupuesto gastos'!$K$7</f>
        <v>3083.0893291017446</v>
      </c>
      <c r="BG17" s="938">
        <f>'3.11 - Presupuesto gastos'!$K$7</f>
        <v>3083.0893291017446</v>
      </c>
      <c r="BH17" s="938">
        <f>'3.11 - Presupuesto gastos'!$K$7</f>
        <v>3083.0893291017446</v>
      </c>
      <c r="BI17" s="938">
        <f>'3.11 - Presupuesto gastos'!$K$7</f>
        <v>3083.0893291017446</v>
      </c>
      <c r="BJ17" s="938">
        <f>'3.11 - Presupuesto gastos'!$K$7</f>
        <v>3083.0893291017446</v>
      </c>
      <c r="BK17" s="938">
        <f>'3.11 - Presupuesto gastos'!$K$7</f>
        <v>3083.0893291017446</v>
      </c>
      <c r="BL17" s="938">
        <f>'3.11 - Presupuesto gastos'!$K$7</f>
        <v>3083.0893291017446</v>
      </c>
      <c r="BM17" s="938">
        <f>'3.11 - Presupuesto gastos'!$K$7</f>
        <v>3083.0893291017446</v>
      </c>
      <c r="BN17" s="938">
        <f>'3.11 - Presupuesto gastos'!$K$7</f>
        <v>3083.0893291017446</v>
      </c>
      <c r="BO17" s="939">
        <f>'3.11 - Presupuesto gastos'!$K$7</f>
        <v>3083.0893291017446</v>
      </c>
      <c r="BP17" s="932">
        <f t="shared" si="4"/>
        <v>36997.071949220939</v>
      </c>
    </row>
    <row r="18" spans="2:68">
      <c r="B18" s="1728"/>
      <c r="C18" s="274" t="s">
        <v>1150</v>
      </c>
      <c r="D18" s="961">
        <f>'3.11 - Presupuesto gastos'!$C$8</f>
        <v>2597.9988603491274</v>
      </c>
      <c r="E18" s="929">
        <f>'3.11 - Presupuesto gastos'!$C$8</f>
        <v>2597.9988603491274</v>
      </c>
      <c r="F18" s="929">
        <f>'3.11 - Presupuesto gastos'!$C$8</f>
        <v>2597.9988603491274</v>
      </c>
      <c r="G18" s="929">
        <f>'3.11 - Presupuesto gastos'!$C$8</f>
        <v>2597.9988603491274</v>
      </c>
      <c r="H18" s="929">
        <f>'3.11 - Presupuesto gastos'!$C$8</f>
        <v>2597.9988603491274</v>
      </c>
      <c r="I18" s="929">
        <f>'3.11 - Presupuesto gastos'!$C$8</f>
        <v>2597.9988603491274</v>
      </c>
      <c r="J18" s="929">
        <f>'3.11 - Presupuesto gastos'!$C$8</f>
        <v>2597.9988603491274</v>
      </c>
      <c r="K18" s="929">
        <f>'3.11 - Presupuesto gastos'!$C$8</f>
        <v>2597.9988603491274</v>
      </c>
      <c r="L18" s="929">
        <f>'3.11 - Presupuesto gastos'!$C$8</f>
        <v>2597.9988603491274</v>
      </c>
      <c r="M18" s="929">
        <f>'3.11 - Presupuesto gastos'!$C$8</f>
        <v>2597.9988603491274</v>
      </c>
      <c r="N18" s="929">
        <f>'3.11 - Presupuesto gastos'!$C$8</f>
        <v>2597.9988603491274</v>
      </c>
      <c r="O18" s="1127">
        <f>'3.11 - Presupuesto gastos'!$C$8</f>
        <v>2597.9988603491274</v>
      </c>
      <c r="P18" s="943">
        <f t="shared" si="0"/>
        <v>31175.986324189536</v>
      </c>
      <c r="Q18" s="941">
        <f>'3.11 - Presupuesto gastos'!$E$8</f>
        <v>2655.1548352768082</v>
      </c>
      <c r="R18" s="929">
        <f>'3.11 - Presupuesto gastos'!$E$8</f>
        <v>2655.1548352768082</v>
      </c>
      <c r="S18" s="929">
        <f>'3.11 - Presupuesto gastos'!$E$8</f>
        <v>2655.1548352768082</v>
      </c>
      <c r="T18" s="929">
        <f>'3.11 - Presupuesto gastos'!$E$8</f>
        <v>2655.1548352768082</v>
      </c>
      <c r="U18" s="929">
        <f>'3.11 - Presupuesto gastos'!$E$8</f>
        <v>2655.1548352768082</v>
      </c>
      <c r="V18" s="929">
        <f>'3.11 - Presupuesto gastos'!$E$8</f>
        <v>2655.1548352768082</v>
      </c>
      <c r="W18" s="929">
        <f>'3.11 - Presupuesto gastos'!$E$8</f>
        <v>2655.1548352768082</v>
      </c>
      <c r="X18" s="929">
        <f>'3.11 - Presupuesto gastos'!$E$8</f>
        <v>2655.1548352768082</v>
      </c>
      <c r="Y18" s="929">
        <f>'3.11 - Presupuesto gastos'!$E$8</f>
        <v>2655.1548352768082</v>
      </c>
      <c r="Z18" s="929">
        <f>'3.11 - Presupuesto gastos'!$E$8</f>
        <v>2655.1548352768082</v>
      </c>
      <c r="AA18" s="929">
        <f>'3.11 - Presupuesto gastos'!$E$8</f>
        <v>2655.1548352768082</v>
      </c>
      <c r="AB18" s="942">
        <f>'3.11 - Presupuesto gastos'!$E$8</f>
        <v>2655.1548352768082</v>
      </c>
      <c r="AC18" s="943">
        <f t="shared" si="1"/>
        <v>31861.858023321696</v>
      </c>
      <c r="AD18" s="921">
        <f>'3.11 - Presupuesto gastos'!$G$8</f>
        <v>2713.568241652898</v>
      </c>
      <c r="AE18" s="968">
        <f>'3.11 - Presupuesto gastos'!$G$8</f>
        <v>2713.568241652898</v>
      </c>
      <c r="AF18" s="968">
        <f>'3.11 - Presupuesto gastos'!$G$8</f>
        <v>2713.568241652898</v>
      </c>
      <c r="AG18" s="968">
        <f>'3.11 - Presupuesto gastos'!$G$8</f>
        <v>2713.568241652898</v>
      </c>
      <c r="AH18" s="968">
        <f>'3.11 - Presupuesto gastos'!$G$8</f>
        <v>2713.568241652898</v>
      </c>
      <c r="AI18" s="968">
        <f>'3.11 - Presupuesto gastos'!$G$8</f>
        <v>2713.568241652898</v>
      </c>
      <c r="AJ18" s="968">
        <f>'3.11 - Presupuesto gastos'!$G$8</f>
        <v>2713.568241652898</v>
      </c>
      <c r="AK18" s="968">
        <f>'3.11 - Presupuesto gastos'!$G$8</f>
        <v>2713.568241652898</v>
      </c>
      <c r="AL18" s="968">
        <f>'3.11 - Presupuesto gastos'!$G$8</f>
        <v>2713.568241652898</v>
      </c>
      <c r="AM18" s="968">
        <f>'3.11 - Presupuesto gastos'!$G$8</f>
        <v>2713.568241652898</v>
      </c>
      <c r="AN18" s="968">
        <f>'3.11 - Presupuesto gastos'!$G$8</f>
        <v>2713.568241652898</v>
      </c>
      <c r="AO18" s="975">
        <f>'3.11 - Presupuesto gastos'!$G$8</f>
        <v>2713.568241652898</v>
      </c>
      <c r="AP18" s="943">
        <f t="shared" si="2"/>
        <v>32562.818899834776</v>
      </c>
      <c r="AQ18" s="941">
        <f>'3.11 - Presupuesto gastos'!$I$8</f>
        <v>2773.2667429692615</v>
      </c>
      <c r="AR18" s="929">
        <f>'3.11 - Presupuesto gastos'!$I$8</f>
        <v>2773.2667429692615</v>
      </c>
      <c r="AS18" s="929">
        <f>'3.11 - Presupuesto gastos'!$I$8</f>
        <v>2773.2667429692615</v>
      </c>
      <c r="AT18" s="929">
        <f>'3.11 - Presupuesto gastos'!$I$8</f>
        <v>2773.2667429692615</v>
      </c>
      <c r="AU18" s="929">
        <f>'3.11 - Presupuesto gastos'!$I$8</f>
        <v>2773.2667429692615</v>
      </c>
      <c r="AV18" s="929">
        <f>'3.11 - Presupuesto gastos'!$I$8</f>
        <v>2773.2667429692615</v>
      </c>
      <c r="AW18" s="929">
        <f>'3.11 - Presupuesto gastos'!$I$8</f>
        <v>2773.2667429692615</v>
      </c>
      <c r="AX18" s="929">
        <f>'3.11 - Presupuesto gastos'!$I$8</f>
        <v>2773.2667429692615</v>
      </c>
      <c r="AY18" s="929">
        <f>'3.11 - Presupuesto gastos'!$I$8</f>
        <v>2773.2667429692615</v>
      </c>
      <c r="AZ18" s="929">
        <f>'3.11 - Presupuesto gastos'!$I$8</f>
        <v>2773.2667429692615</v>
      </c>
      <c r="BA18" s="929">
        <f>'3.11 - Presupuesto gastos'!$I$8</f>
        <v>2773.2667429692615</v>
      </c>
      <c r="BB18" s="942">
        <f>'3.11 - Presupuesto gastos'!$I$8</f>
        <v>2773.2667429692615</v>
      </c>
      <c r="BC18" s="943">
        <f t="shared" si="3"/>
        <v>33279.200915631147</v>
      </c>
      <c r="BD18" s="941">
        <f>'3.11 - Presupuesto gastos'!$K$8</f>
        <v>2834.2786113145853</v>
      </c>
      <c r="BE18" s="929">
        <f>'3.11 - Presupuesto gastos'!$K$8</f>
        <v>2834.2786113145853</v>
      </c>
      <c r="BF18" s="929">
        <f>'3.11 - Presupuesto gastos'!$K$8</f>
        <v>2834.2786113145853</v>
      </c>
      <c r="BG18" s="929">
        <f>'3.11 - Presupuesto gastos'!$K$8</f>
        <v>2834.2786113145853</v>
      </c>
      <c r="BH18" s="929">
        <f>'3.11 - Presupuesto gastos'!$K$8</f>
        <v>2834.2786113145853</v>
      </c>
      <c r="BI18" s="929">
        <f>'3.11 - Presupuesto gastos'!$K$8</f>
        <v>2834.2786113145853</v>
      </c>
      <c r="BJ18" s="929">
        <f>'3.11 - Presupuesto gastos'!$K$8</f>
        <v>2834.2786113145853</v>
      </c>
      <c r="BK18" s="929">
        <f>'3.11 - Presupuesto gastos'!$K$8</f>
        <v>2834.2786113145853</v>
      </c>
      <c r="BL18" s="929">
        <f>'3.11 - Presupuesto gastos'!$K$8</f>
        <v>2834.2786113145853</v>
      </c>
      <c r="BM18" s="929">
        <f>'3.11 - Presupuesto gastos'!$K$8</f>
        <v>2834.2786113145853</v>
      </c>
      <c r="BN18" s="929">
        <f>'3.11 - Presupuesto gastos'!$K$8</f>
        <v>2834.2786113145853</v>
      </c>
      <c r="BO18" s="942">
        <f>'3.11 - Presupuesto gastos'!$K$8</f>
        <v>2834.2786113145853</v>
      </c>
      <c r="BP18" s="943">
        <f t="shared" si="4"/>
        <v>34011.343335775025</v>
      </c>
    </row>
    <row r="19" spans="2:68">
      <c r="B19" s="1728"/>
      <c r="C19" s="274" t="s">
        <v>1151</v>
      </c>
      <c r="D19" s="961">
        <f>'3.11 - Presupuesto gastos'!$C$9</f>
        <v>0</v>
      </c>
      <c r="E19" s="929">
        <f>'3.11 - Presupuesto gastos'!$C$9</f>
        <v>0</v>
      </c>
      <c r="F19" s="929">
        <f>'3.11 - Presupuesto gastos'!$C$9</f>
        <v>0</v>
      </c>
      <c r="G19" s="929">
        <f>'3.11 - Presupuesto gastos'!$C$9</f>
        <v>0</v>
      </c>
      <c r="H19" s="929">
        <f>'3.11 - Presupuesto gastos'!$C$9</f>
        <v>0</v>
      </c>
      <c r="I19" s="929">
        <f>'3.11 - Presupuesto gastos'!$C$9</f>
        <v>0</v>
      </c>
      <c r="J19" s="929">
        <f>'3.11 - Presupuesto gastos'!$C$9</f>
        <v>0</v>
      </c>
      <c r="K19" s="929">
        <f>'3.11 - Presupuesto gastos'!$C$9</f>
        <v>0</v>
      </c>
      <c r="L19" s="929">
        <f>'3.11 - Presupuesto gastos'!$C$9</f>
        <v>0</v>
      </c>
      <c r="M19" s="929">
        <f>'3.11 - Presupuesto gastos'!$C$9</f>
        <v>0</v>
      </c>
      <c r="N19" s="929">
        <f>'3.11 - Presupuesto gastos'!$C$9</f>
        <v>0</v>
      </c>
      <c r="O19" s="1127">
        <f>'3.11 - Presupuesto gastos'!$C$9</f>
        <v>0</v>
      </c>
      <c r="P19" s="943">
        <f t="shared" si="0"/>
        <v>0</v>
      </c>
      <c r="Q19" s="941">
        <f>'3.11 - Presupuesto gastos'!$E$9</f>
        <v>0</v>
      </c>
      <c r="R19" s="929">
        <f>'3.11 - Presupuesto gastos'!$E$9</f>
        <v>0</v>
      </c>
      <c r="S19" s="929">
        <f>'3.11 - Presupuesto gastos'!$E$9</f>
        <v>0</v>
      </c>
      <c r="T19" s="929">
        <f>'3.11 - Presupuesto gastos'!$E$9</f>
        <v>0</v>
      </c>
      <c r="U19" s="929">
        <f>'3.11 - Presupuesto gastos'!$E$9</f>
        <v>0</v>
      </c>
      <c r="V19" s="929">
        <f>'3.11 - Presupuesto gastos'!$E$9</f>
        <v>0</v>
      </c>
      <c r="W19" s="929">
        <f>'3.11 - Presupuesto gastos'!$E$9</f>
        <v>0</v>
      </c>
      <c r="X19" s="929">
        <f>'3.11 - Presupuesto gastos'!$E$9</f>
        <v>0</v>
      </c>
      <c r="Y19" s="929">
        <f>'3.11 - Presupuesto gastos'!$E$9</f>
        <v>0</v>
      </c>
      <c r="Z19" s="929">
        <f>'3.11 - Presupuesto gastos'!$E$9</f>
        <v>0</v>
      </c>
      <c r="AA19" s="929">
        <f>'3.11 - Presupuesto gastos'!$E$9</f>
        <v>0</v>
      </c>
      <c r="AB19" s="942">
        <f>'3.11 - Presupuesto gastos'!$E$9</f>
        <v>0</v>
      </c>
      <c r="AC19" s="943">
        <f t="shared" si="1"/>
        <v>0</v>
      </c>
      <c r="AD19" s="921">
        <f>'3.11 - Presupuesto gastos'!$G$9</f>
        <v>2713.568241652898</v>
      </c>
      <c r="AE19" s="968">
        <f>'3.11 - Presupuesto gastos'!$G$9</f>
        <v>2713.568241652898</v>
      </c>
      <c r="AF19" s="968">
        <f>'3.11 - Presupuesto gastos'!$G$9</f>
        <v>2713.568241652898</v>
      </c>
      <c r="AG19" s="968">
        <f>'3.11 - Presupuesto gastos'!$G$9</f>
        <v>2713.568241652898</v>
      </c>
      <c r="AH19" s="968">
        <f>'3.11 - Presupuesto gastos'!$G$9</f>
        <v>2713.568241652898</v>
      </c>
      <c r="AI19" s="968">
        <f>'3.11 - Presupuesto gastos'!$G$9</f>
        <v>2713.568241652898</v>
      </c>
      <c r="AJ19" s="968">
        <f>'3.11 - Presupuesto gastos'!$G$9</f>
        <v>2713.568241652898</v>
      </c>
      <c r="AK19" s="968">
        <f>'3.11 - Presupuesto gastos'!$G$9</f>
        <v>2713.568241652898</v>
      </c>
      <c r="AL19" s="968">
        <f>'3.11 - Presupuesto gastos'!$G$9</f>
        <v>2713.568241652898</v>
      </c>
      <c r="AM19" s="968">
        <f>'3.11 - Presupuesto gastos'!$G$9</f>
        <v>2713.568241652898</v>
      </c>
      <c r="AN19" s="968">
        <f>'3.11 - Presupuesto gastos'!$G$9</f>
        <v>2713.568241652898</v>
      </c>
      <c r="AO19" s="975">
        <f>'3.11 - Presupuesto gastos'!$G$9</f>
        <v>2713.568241652898</v>
      </c>
      <c r="AP19" s="943">
        <f t="shared" si="2"/>
        <v>32562.818899834776</v>
      </c>
      <c r="AQ19" s="941">
        <f>'3.11 - Presupuesto gastos'!$I$9</f>
        <v>2773.2667429692615</v>
      </c>
      <c r="AR19" s="929">
        <f>'3.11 - Presupuesto gastos'!$I$9</f>
        <v>2773.2667429692615</v>
      </c>
      <c r="AS19" s="929">
        <f>'3.11 - Presupuesto gastos'!$I$9</f>
        <v>2773.2667429692615</v>
      </c>
      <c r="AT19" s="929">
        <f>'3.11 - Presupuesto gastos'!$I$9</f>
        <v>2773.2667429692615</v>
      </c>
      <c r="AU19" s="929">
        <f>'3.11 - Presupuesto gastos'!$I$9</f>
        <v>2773.2667429692615</v>
      </c>
      <c r="AV19" s="929">
        <f>'3.11 - Presupuesto gastos'!$I$9</f>
        <v>2773.2667429692615</v>
      </c>
      <c r="AW19" s="929">
        <f>'3.11 - Presupuesto gastos'!$I$9</f>
        <v>2773.2667429692615</v>
      </c>
      <c r="AX19" s="929">
        <f>'3.11 - Presupuesto gastos'!$I$9</f>
        <v>2773.2667429692615</v>
      </c>
      <c r="AY19" s="929">
        <f>'3.11 - Presupuesto gastos'!$I$9</f>
        <v>2773.2667429692615</v>
      </c>
      <c r="AZ19" s="929">
        <f>'3.11 - Presupuesto gastos'!$I$9</f>
        <v>2773.2667429692615</v>
      </c>
      <c r="BA19" s="929">
        <f>'3.11 - Presupuesto gastos'!$I$9</f>
        <v>2773.2667429692615</v>
      </c>
      <c r="BB19" s="942">
        <f>'3.11 - Presupuesto gastos'!$I$9</f>
        <v>2773.2667429692615</v>
      </c>
      <c r="BC19" s="943">
        <f>SUM(AQ19:BB19)</f>
        <v>33279.200915631147</v>
      </c>
      <c r="BD19" s="941">
        <f>'3.11 - Presupuesto gastos'!$K$9</f>
        <v>2834.2786113145853</v>
      </c>
      <c r="BE19" s="929">
        <f>'3.11 - Presupuesto gastos'!$K$9</f>
        <v>2834.2786113145853</v>
      </c>
      <c r="BF19" s="929">
        <f>'3.11 - Presupuesto gastos'!$K$9</f>
        <v>2834.2786113145853</v>
      </c>
      <c r="BG19" s="929">
        <f>'3.11 - Presupuesto gastos'!$K$9</f>
        <v>2834.2786113145853</v>
      </c>
      <c r="BH19" s="929">
        <f>'3.11 - Presupuesto gastos'!$K$9</f>
        <v>2834.2786113145853</v>
      </c>
      <c r="BI19" s="929">
        <f>'3.11 - Presupuesto gastos'!$K$9</f>
        <v>2834.2786113145853</v>
      </c>
      <c r="BJ19" s="929">
        <f>'3.11 - Presupuesto gastos'!$K$9</f>
        <v>2834.2786113145853</v>
      </c>
      <c r="BK19" s="929">
        <f>'3.11 - Presupuesto gastos'!$K$9</f>
        <v>2834.2786113145853</v>
      </c>
      <c r="BL19" s="929">
        <f>'3.11 - Presupuesto gastos'!$K$9</f>
        <v>2834.2786113145853</v>
      </c>
      <c r="BM19" s="929">
        <f>'3.11 - Presupuesto gastos'!$K$9</f>
        <v>2834.2786113145853</v>
      </c>
      <c r="BN19" s="929">
        <f>'3.11 - Presupuesto gastos'!$K$9</f>
        <v>2834.2786113145853</v>
      </c>
      <c r="BO19" s="942">
        <f>'3.11 - Presupuesto gastos'!$K$9</f>
        <v>2834.2786113145853</v>
      </c>
      <c r="BP19" s="943">
        <f t="shared" si="4"/>
        <v>34011.343335775025</v>
      </c>
    </row>
    <row r="20" spans="2:68">
      <c r="B20" s="1728"/>
      <c r="C20" s="274" t="s">
        <v>1152</v>
      </c>
      <c r="D20" s="961">
        <f>'3.11 - Presupuesto gastos'!$C$10</f>
        <v>0</v>
      </c>
      <c r="E20" s="929">
        <f>'3.11 - Presupuesto gastos'!$C$10</f>
        <v>0</v>
      </c>
      <c r="F20" s="929">
        <f>'3.11 - Presupuesto gastos'!$C$10</f>
        <v>0</v>
      </c>
      <c r="G20" s="929">
        <f>'3.11 - Presupuesto gastos'!$C$10</f>
        <v>0</v>
      </c>
      <c r="H20" s="929">
        <f>'3.11 - Presupuesto gastos'!$C$10</f>
        <v>0</v>
      </c>
      <c r="I20" s="929">
        <f>'3.11 - Presupuesto gastos'!$C$10</f>
        <v>0</v>
      </c>
      <c r="J20" s="929">
        <f>'3.11 - Presupuesto gastos'!$C$10</f>
        <v>0</v>
      </c>
      <c r="K20" s="929">
        <f>'3.11 - Presupuesto gastos'!$C$10</f>
        <v>0</v>
      </c>
      <c r="L20" s="929">
        <f>'3.11 - Presupuesto gastos'!$C$10</f>
        <v>0</v>
      </c>
      <c r="M20" s="929">
        <f>'3.11 - Presupuesto gastos'!$C$10</f>
        <v>0</v>
      </c>
      <c r="N20" s="929">
        <f>'3.11 - Presupuesto gastos'!$C$10</f>
        <v>0</v>
      </c>
      <c r="O20" s="1127">
        <f>'3.11 - Presupuesto gastos'!$C$10</f>
        <v>0</v>
      </c>
      <c r="P20" s="943">
        <f t="shared" si="0"/>
        <v>0</v>
      </c>
      <c r="Q20" s="941">
        <f>'3.11 - Presupuesto gastos'!$E$10</f>
        <v>0</v>
      </c>
      <c r="R20" s="929">
        <f>'3.11 - Presupuesto gastos'!$E$10</f>
        <v>0</v>
      </c>
      <c r="S20" s="929">
        <f>'3.11 - Presupuesto gastos'!$E$10</f>
        <v>0</v>
      </c>
      <c r="T20" s="929">
        <f>'3.11 - Presupuesto gastos'!$E$10</f>
        <v>0</v>
      </c>
      <c r="U20" s="929">
        <f>'3.11 - Presupuesto gastos'!$E$10</f>
        <v>0</v>
      </c>
      <c r="V20" s="929">
        <f>'3.11 - Presupuesto gastos'!$E$10</f>
        <v>0</v>
      </c>
      <c r="W20" s="929">
        <f>'3.11 - Presupuesto gastos'!$E$10</f>
        <v>0</v>
      </c>
      <c r="X20" s="929">
        <f>'3.11 - Presupuesto gastos'!$E$10</f>
        <v>0</v>
      </c>
      <c r="Y20" s="929">
        <f>'3.11 - Presupuesto gastos'!$E$10</f>
        <v>0</v>
      </c>
      <c r="Z20" s="929">
        <f>'3.11 - Presupuesto gastos'!$E$10</f>
        <v>0</v>
      </c>
      <c r="AA20" s="929">
        <f>'3.11 - Presupuesto gastos'!$E$10</f>
        <v>0</v>
      </c>
      <c r="AB20" s="942">
        <f>'3.11 - Presupuesto gastos'!$E$10</f>
        <v>0</v>
      </c>
      <c r="AC20" s="943">
        <f t="shared" si="1"/>
        <v>0</v>
      </c>
      <c r="AD20" s="921">
        <f>'3.11 - Presupuesto gastos'!$G$10</f>
        <v>2713.568241652898</v>
      </c>
      <c r="AE20" s="968">
        <f>'3.11 - Presupuesto gastos'!$G$10</f>
        <v>2713.568241652898</v>
      </c>
      <c r="AF20" s="968">
        <f>'3.11 - Presupuesto gastos'!$G$10</f>
        <v>2713.568241652898</v>
      </c>
      <c r="AG20" s="968">
        <f>'3.11 - Presupuesto gastos'!$G$10</f>
        <v>2713.568241652898</v>
      </c>
      <c r="AH20" s="968">
        <f>'3.11 - Presupuesto gastos'!$G$10</f>
        <v>2713.568241652898</v>
      </c>
      <c r="AI20" s="968">
        <f>'3.11 - Presupuesto gastos'!$G$10</f>
        <v>2713.568241652898</v>
      </c>
      <c r="AJ20" s="968">
        <f>'3.11 - Presupuesto gastos'!$G$10</f>
        <v>2713.568241652898</v>
      </c>
      <c r="AK20" s="968">
        <f>'3.11 - Presupuesto gastos'!$G$10</f>
        <v>2713.568241652898</v>
      </c>
      <c r="AL20" s="968">
        <f>'3.11 - Presupuesto gastos'!$G$10</f>
        <v>2713.568241652898</v>
      </c>
      <c r="AM20" s="968">
        <f>'3.11 - Presupuesto gastos'!$G$10</f>
        <v>2713.568241652898</v>
      </c>
      <c r="AN20" s="968">
        <f>'3.11 - Presupuesto gastos'!$G$10</f>
        <v>2713.568241652898</v>
      </c>
      <c r="AO20" s="975">
        <f>'3.11 - Presupuesto gastos'!$G$10</f>
        <v>2713.568241652898</v>
      </c>
      <c r="AP20" s="943">
        <f>SUM(AD20:AO20)</f>
        <v>32562.818899834776</v>
      </c>
      <c r="AQ20" s="941">
        <f>'3.11 - Presupuesto gastos'!$I$10</f>
        <v>2773.2667429692615</v>
      </c>
      <c r="AR20" s="929">
        <f>'3.11 - Presupuesto gastos'!$I$10</f>
        <v>2773.2667429692615</v>
      </c>
      <c r="AS20" s="929">
        <f>'3.11 - Presupuesto gastos'!$I$10</f>
        <v>2773.2667429692615</v>
      </c>
      <c r="AT20" s="929">
        <f>'3.11 - Presupuesto gastos'!$I$10</f>
        <v>2773.2667429692615</v>
      </c>
      <c r="AU20" s="929">
        <f>'3.11 - Presupuesto gastos'!$I$10</f>
        <v>2773.2667429692615</v>
      </c>
      <c r="AV20" s="929">
        <f>'3.11 - Presupuesto gastos'!$I$10</f>
        <v>2773.2667429692615</v>
      </c>
      <c r="AW20" s="929">
        <f>'3.11 - Presupuesto gastos'!$I$10</f>
        <v>2773.2667429692615</v>
      </c>
      <c r="AX20" s="929">
        <f>'3.11 - Presupuesto gastos'!$I$10</f>
        <v>2773.2667429692615</v>
      </c>
      <c r="AY20" s="929">
        <f>'3.11 - Presupuesto gastos'!$I$10</f>
        <v>2773.2667429692615</v>
      </c>
      <c r="AZ20" s="929">
        <f>'3.11 - Presupuesto gastos'!$I$10</f>
        <v>2773.2667429692615</v>
      </c>
      <c r="BA20" s="929">
        <f>'3.11 - Presupuesto gastos'!$I$10</f>
        <v>2773.2667429692615</v>
      </c>
      <c r="BB20" s="942">
        <f>'3.11 - Presupuesto gastos'!$I$10</f>
        <v>2773.2667429692615</v>
      </c>
      <c r="BC20" s="943">
        <f t="shared" si="3"/>
        <v>33279.200915631147</v>
      </c>
      <c r="BD20" s="941">
        <f>'3.11 - Presupuesto gastos'!$K$10</f>
        <v>2834.2786113145853</v>
      </c>
      <c r="BE20" s="929">
        <f>'3.11 - Presupuesto gastos'!$K$10</f>
        <v>2834.2786113145853</v>
      </c>
      <c r="BF20" s="929">
        <f>'3.11 - Presupuesto gastos'!$K$10</f>
        <v>2834.2786113145853</v>
      </c>
      <c r="BG20" s="929">
        <f>'3.11 - Presupuesto gastos'!$K$10</f>
        <v>2834.2786113145853</v>
      </c>
      <c r="BH20" s="929">
        <f>'3.11 - Presupuesto gastos'!$K$10</f>
        <v>2834.2786113145853</v>
      </c>
      <c r="BI20" s="929">
        <f>'3.11 - Presupuesto gastos'!$K$10</f>
        <v>2834.2786113145853</v>
      </c>
      <c r="BJ20" s="929">
        <f>'3.11 - Presupuesto gastos'!$K$10</f>
        <v>2834.2786113145853</v>
      </c>
      <c r="BK20" s="929">
        <f>'3.11 - Presupuesto gastos'!$K$10</f>
        <v>2834.2786113145853</v>
      </c>
      <c r="BL20" s="929">
        <f>'3.11 - Presupuesto gastos'!$K$10</f>
        <v>2834.2786113145853</v>
      </c>
      <c r="BM20" s="929">
        <f>'3.11 - Presupuesto gastos'!$K$10</f>
        <v>2834.2786113145853</v>
      </c>
      <c r="BN20" s="929">
        <f>'3.11 - Presupuesto gastos'!$K$10</f>
        <v>2834.2786113145853</v>
      </c>
      <c r="BO20" s="942">
        <f>'3.11 - Presupuesto gastos'!$K$10</f>
        <v>2834.2786113145853</v>
      </c>
      <c r="BP20" s="943">
        <f t="shared" si="4"/>
        <v>34011.343335775025</v>
      </c>
    </row>
    <row r="21" spans="2:68">
      <c r="B21" s="1728"/>
      <c r="C21" s="274" t="s">
        <v>1153</v>
      </c>
      <c r="D21" s="961">
        <f>'3.11 - Presupuesto gastos'!$C$10</f>
        <v>0</v>
      </c>
      <c r="E21" s="929">
        <f>'3.11 - Presupuesto gastos'!$C$10</f>
        <v>0</v>
      </c>
      <c r="F21" s="929">
        <f>'3.11 - Presupuesto gastos'!$C$10</f>
        <v>0</v>
      </c>
      <c r="G21" s="929">
        <f>'3.11 - Presupuesto gastos'!$C$10</f>
        <v>0</v>
      </c>
      <c r="H21" s="929">
        <f>'3.11 - Presupuesto gastos'!$C$10</f>
        <v>0</v>
      </c>
      <c r="I21" s="929">
        <f>'3.11 - Presupuesto gastos'!$C$10</f>
        <v>0</v>
      </c>
      <c r="J21" s="929">
        <f>'3.11 - Presupuesto gastos'!$C$10</f>
        <v>0</v>
      </c>
      <c r="K21" s="929">
        <f>'3.11 - Presupuesto gastos'!$C$10</f>
        <v>0</v>
      </c>
      <c r="L21" s="929">
        <f>'3.11 - Presupuesto gastos'!$C$10</f>
        <v>0</v>
      </c>
      <c r="M21" s="929">
        <f>'3.11 - Presupuesto gastos'!$C$10</f>
        <v>0</v>
      </c>
      <c r="N21" s="929">
        <f>'3.11 - Presupuesto gastos'!$C$10</f>
        <v>0</v>
      </c>
      <c r="O21" s="1127">
        <f>'3.11 - Presupuesto gastos'!$C$10</f>
        <v>0</v>
      </c>
      <c r="P21" s="943">
        <f>SUM(D21:O21)</f>
        <v>0</v>
      </c>
      <c r="Q21" s="941">
        <f>'3.11 - Presupuesto gastos'!$E$11</f>
        <v>0</v>
      </c>
      <c r="R21" s="929">
        <f>'3.11 - Presupuesto gastos'!$E$11</f>
        <v>0</v>
      </c>
      <c r="S21" s="929">
        <f>'3.11 - Presupuesto gastos'!$E$11</f>
        <v>0</v>
      </c>
      <c r="T21" s="929">
        <f>'3.11 - Presupuesto gastos'!$E$11</f>
        <v>0</v>
      </c>
      <c r="U21" s="929">
        <f>'3.11 - Presupuesto gastos'!$E$11</f>
        <v>0</v>
      </c>
      <c r="V21" s="929">
        <f>'3.11 - Presupuesto gastos'!$E$11</f>
        <v>0</v>
      </c>
      <c r="W21" s="929">
        <f>'3.11 - Presupuesto gastos'!$E$11</f>
        <v>0</v>
      </c>
      <c r="X21" s="929">
        <f>'3.11 - Presupuesto gastos'!$E$11</f>
        <v>0</v>
      </c>
      <c r="Y21" s="929">
        <f>'3.11 - Presupuesto gastos'!$E$11</f>
        <v>0</v>
      </c>
      <c r="Z21" s="929">
        <f>'3.11 - Presupuesto gastos'!$E$11</f>
        <v>0</v>
      </c>
      <c r="AA21" s="929">
        <f>'3.11 - Presupuesto gastos'!$E$11</f>
        <v>0</v>
      </c>
      <c r="AB21" s="942">
        <f>'3.11 - Presupuesto gastos'!$E$11</f>
        <v>0</v>
      </c>
      <c r="AC21" s="943">
        <f t="shared" si="1"/>
        <v>0</v>
      </c>
      <c r="AD21" s="921">
        <f>'3.11 - Presupuesto gastos'!$G$11</f>
        <v>0</v>
      </c>
      <c r="AE21" s="968">
        <f>'3.11 - Presupuesto gastos'!$G$11</f>
        <v>0</v>
      </c>
      <c r="AF21" s="968">
        <f>'3.11 - Presupuesto gastos'!$G$11</f>
        <v>0</v>
      </c>
      <c r="AG21" s="968">
        <f>'3.11 - Presupuesto gastos'!$G$11</f>
        <v>0</v>
      </c>
      <c r="AH21" s="968">
        <f>'3.11 - Presupuesto gastos'!$G$11</f>
        <v>0</v>
      </c>
      <c r="AI21" s="968">
        <f>'3.11 - Presupuesto gastos'!$G$11</f>
        <v>0</v>
      </c>
      <c r="AJ21" s="968">
        <f>'3.11 - Presupuesto gastos'!$G$11</f>
        <v>0</v>
      </c>
      <c r="AK21" s="968">
        <f>'3.11 - Presupuesto gastos'!$G$11</f>
        <v>0</v>
      </c>
      <c r="AL21" s="968">
        <f>'3.11 - Presupuesto gastos'!$G$11</f>
        <v>0</v>
      </c>
      <c r="AM21" s="968">
        <f>'3.11 - Presupuesto gastos'!$G$11</f>
        <v>0</v>
      </c>
      <c r="AN21" s="968">
        <f>'3.11 - Presupuesto gastos'!$G$11</f>
        <v>0</v>
      </c>
      <c r="AO21" s="975">
        <f>'3.11 - Presupuesto gastos'!$G$11</f>
        <v>0</v>
      </c>
      <c r="AP21" s="943">
        <f t="shared" si="2"/>
        <v>0</v>
      </c>
      <c r="AQ21" s="941">
        <f>'3.11 - Presupuesto gastos'!$I$11</f>
        <v>1996.3286554351253</v>
      </c>
      <c r="AR21" s="929">
        <f>'3.11 - Presupuesto gastos'!$I$11</f>
        <v>1996.3286554351253</v>
      </c>
      <c r="AS21" s="929">
        <f>'3.11 - Presupuesto gastos'!$I$11</f>
        <v>1996.3286554351253</v>
      </c>
      <c r="AT21" s="929">
        <f>'3.11 - Presupuesto gastos'!$I$11</f>
        <v>1996.3286554351253</v>
      </c>
      <c r="AU21" s="929">
        <f>'3.11 - Presupuesto gastos'!$I$11</f>
        <v>1996.3286554351253</v>
      </c>
      <c r="AV21" s="929">
        <f>'3.11 - Presupuesto gastos'!$I$11</f>
        <v>1996.3286554351253</v>
      </c>
      <c r="AW21" s="929">
        <f>'3.11 - Presupuesto gastos'!$I$11</f>
        <v>1996.3286554351253</v>
      </c>
      <c r="AX21" s="929">
        <f>'3.11 - Presupuesto gastos'!$I$11</f>
        <v>1996.3286554351253</v>
      </c>
      <c r="AY21" s="929">
        <f>'3.11 - Presupuesto gastos'!$I$11</f>
        <v>1996.3286554351253</v>
      </c>
      <c r="AZ21" s="929">
        <f>'3.11 - Presupuesto gastos'!$I$11</f>
        <v>1996.3286554351253</v>
      </c>
      <c r="BA21" s="929">
        <f>'3.11 - Presupuesto gastos'!$I$11</f>
        <v>1996.3286554351253</v>
      </c>
      <c r="BB21" s="942">
        <f>'3.11 - Presupuesto gastos'!$I$11</f>
        <v>1996.3286554351253</v>
      </c>
      <c r="BC21" s="943">
        <f t="shared" si="3"/>
        <v>23955.943865221503</v>
      </c>
      <c r="BD21" s="941">
        <f>'3.11 - Presupuesto gastos'!$K$11</f>
        <v>2040.2478858546979</v>
      </c>
      <c r="BE21" s="929">
        <f>'3.11 - Presupuesto gastos'!$K$11</f>
        <v>2040.2478858546979</v>
      </c>
      <c r="BF21" s="929">
        <f>'3.11 - Presupuesto gastos'!$K$11</f>
        <v>2040.2478858546979</v>
      </c>
      <c r="BG21" s="929">
        <f>'3.11 - Presupuesto gastos'!$K$11</f>
        <v>2040.2478858546979</v>
      </c>
      <c r="BH21" s="929">
        <f>'3.11 - Presupuesto gastos'!$K$11</f>
        <v>2040.2478858546979</v>
      </c>
      <c r="BI21" s="929">
        <f>'3.11 - Presupuesto gastos'!$K$11</f>
        <v>2040.2478858546979</v>
      </c>
      <c r="BJ21" s="929">
        <f>'3.11 - Presupuesto gastos'!$K$11</f>
        <v>2040.2478858546979</v>
      </c>
      <c r="BK21" s="929">
        <f>'3.11 - Presupuesto gastos'!$K$11</f>
        <v>2040.2478858546979</v>
      </c>
      <c r="BL21" s="929">
        <f>'3.11 - Presupuesto gastos'!$K$11</f>
        <v>2040.2478858546979</v>
      </c>
      <c r="BM21" s="929">
        <f>'3.11 - Presupuesto gastos'!$K$11</f>
        <v>2040.2478858546979</v>
      </c>
      <c r="BN21" s="929">
        <f>'3.11 - Presupuesto gastos'!$K$11</f>
        <v>2040.2478858546979</v>
      </c>
      <c r="BO21" s="942">
        <f>'3.11 - Presupuesto gastos'!$K$11</f>
        <v>2040.2478858546979</v>
      </c>
      <c r="BP21" s="943">
        <f t="shared" si="4"/>
        <v>24482.974630256373</v>
      </c>
    </row>
    <row r="22" spans="2:68" ht="15" thickBot="1">
      <c r="B22" s="1729"/>
      <c r="C22" s="275" t="s">
        <v>1154</v>
      </c>
      <c r="D22" s="936">
        <f>'3.11 - Presupuesto gastos'!$C$12</f>
        <v>3877.1662381546139</v>
      </c>
      <c r="E22" s="919">
        <f>'3.11 - Presupuesto gastos'!$C$12</f>
        <v>3877.1662381546139</v>
      </c>
      <c r="F22" s="919">
        <f>'3.11 - Presupuesto gastos'!$C$12</f>
        <v>3877.1662381546139</v>
      </c>
      <c r="G22" s="919">
        <f>'3.11 - Presupuesto gastos'!$C$12</f>
        <v>3877.1662381546139</v>
      </c>
      <c r="H22" s="919">
        <f>'3.11 - Presupuesto gastos'!$C$12</f>
        <v>3877.1662381546139</v>
      </c>
      <c r="I22" s="919">
        <f>'3.11 - Presupuesto gastos'!$C$12</f>
        <v>3877.1662381546139</v>
      </c>
      <c r="J22" s="919">
        <f>'3.11 - Presupuesto gastos'!$C$12</f>
        <v>3877.1662381546139</v>
      </c>
      <c r="K22" s="919">
        <f>'3.11 - Presupuesto gastos'!$C$12</f>
        <v>3877.1662381546139</v>
      </c>
      <c r="L22" s="919">
        <f>'3.11 - Presupuesto gastos'!$C$12</f>
        <v>3877.1662381546139</v>
      </c>
      <c r="M22" s="919">
        <f>'3.11 - Presupuesto gastos'!$C$12</f>
        <v>3877.1662381546139</v>
      </c>
      <c r="N22" s="919">
        <f>'3.11 - Presupuesto gastos'!$C$12</f>
        <v>3877.1662381546139</v>
      </c>
      <c r="O22" s="964">
        <f>'3.11 - Presupuesto gastos'!$C$12</f>
        <v>3877.1662381546139</v>
      </c>
      <c r="P22" s="935">
        <f t="shared" si="0"/>
        <v>46525.994857855352</v>
      </c>
      <c r="Q22" s="934">
        <f>'3.11 - Presupuesto gastos'!$E$12</f>
        <v>3962.4638953940157</v>
      </c>
      <c r="R22" s="919">
        <f>'3.11 - Presupuesto gastos'!$E$12</f>
        <v>3962.4638953940157</v>
      </c>
      <c r="S22" s="919">
        <f>'3.11 - Presupuesto gastos'!$E$12</f>
        <v>3962.4638953940157</v>
      </c>
      <c r="T22" s="919">
        <f>'3.11 - Presupuesto gastos'!$E$12</f>
        <v>3962.4638953940157</v>
      </c>
      <c r="U22" s="919">
        <f>'3.11 - Presupuesto gastos'!$E$12</f>
        <v>3962.4638953940157</v>
      </c>
      <c r="V22" s="919">
        <f>'3.11 - Presupuesto gastos'!$E$12</f>
        <v>3962.4638953940157</v>
      </c>
      <c r="W22" s="919">
        <f>'3.11 - Presupuesto gastos'!$E$12</f>
        <v>3962.4638953940157</v>
      </c>
      <c r="X22" s="919">
        <f>'3.11 - Presupuesto gastos'!$E$12</f>
        <v>3962.4638953940157</v>
      </c>
      <c r="Y22" s="919">
        <f>'3.11 - Presupuesto gastos'!$E$12</f>
        <v>3962.4638953940157</v>
      </c>
      <c r="Z22" s="919">
        <f>'3.11 - Presupuesto gastos'!$E$12</f>
        <v>3962.4638953940157</v>
      </c>
      <c r="AA22" s="919">
        <f>'3.11 - Presupuesto gastos'!$E$12</f>
        <v>3962.4638953940157</v>
      </c>
      <c r="AB22" s="940">
        <f>'3.11 - Presupuesto gastos'!$E$12</f>
        <v>3962.4638953940157</v>
      </c>
      <c r="AC22" s="935">
        <f t="shared" si="1"/>
        <v>47549.566744728188</v>
      </c>
      <c r="AD22" s="937">
        <f>'3.11 - Presupuesto gastos'!$G$12</f>
        <v>4049.6381010926843</v>
      </c>
      <c r="AE22" s="970">
        <f>'3.11 - Presupuesto gastos'!$G$12</f>
        <v>4049.6381010926843</v>
      </c>
      <c r="AF22" s="970">
        <f>'3.11 - Presupuesto gastos'!$G$12</f>
        <v>4049.6381010926843</v>
      </c>
      <c r="AG22" s="970">
        <f>'3.11 - Presupuesto gastos'!$G$12</f>
        <v>4049.6381010926843</v>
      </c>
      <c r="AH22" s="970">
        <f>'3.11 - Presupuesto gastos'!$G$12</f>
        <v>4049.6381010926843</v>
      </c>
      <c r="AI22" s="970">
        <f>'3.11 - Presupuesto gastos'!$G$12</f>
        <v>4049.6381010926843</v>
      </c>
      <c r="AJ22" s="970">
        <f>'3.11 - Presupuesto gastos'!$G$12</f>
        <v>4049.6381010926843</v>
      </c>
      <c r="AK22" s="970">
        <f>'3.11 - Presupuesto gastos'!$G$12</f>
        <v>4049.6381010926843</v>
      </c>
      <c r="AL22" s="970">
        <f>'3.11 - Presupuesto gastos'!$G$12</f>
        <v>4049.6381010926843</v>
      </c>
      <c r="AM22" s="970">
        <f>'3.11 - Presupuesto gastos'!$G$12</f>
        <v>4049.6381010926843</v>
      </c>
      <c r="AN22" s="970">
        <f>'3.11 - Presupuesto gastos'!$G$12</f>
        <v>4049.6381010926843</v>
      </c>
      <c r="AO22" s="976">
        <f>'3.11 - Presupuesto gastos'!$G$12</f>
        <v>4049.6381010926843</v>
      </c>
      <c r="AP22" s="935">
        <f t="shared" si="2"/>
        <v>48595.657213112216</v>
      </c>
      <c r="AQ22" s="934">
        <f>'3.11 - Presupuesto gastos'!$I$12</f>
        <v>4138.7301393167236</v>
      </c>
      <c r="AR22" s="919">
        <f>'3.11 - Presupuesto gastos'!$I$12</f>
        <v>4138.7301393167236</v>
      </c>
      <c r="AS22" s="919">
        <f>'3.11 - Presupuesto gastos'!$I$12</f>
        <v>4138.7301393167236</v>
      </c>
      <c r="AT22" s="919">
        <f>'3.11 - Presupuesto gastos'!$I$12</f>
        <v>4138.7301393167236</v>
      </c>
      <c r="AU22" s="919">
        <f>'3.11 - Presupuesto gastos'!$I$12</f>
        <v>4138.7301393167236</v>
      </c>
      <c r="AV22" s="919">
        <f>'3.11 - Presupuesto gastos'!$I$12</f>
        <v>4138.7301393167236</v>
      </c>
      <c r="AW22" s="919">
        <f>'3.11 - Presupuesto gastos'!$I$12</f>
        <v>4138.7301393167236</v>
      </c>
      <c r="AX22" s="919">
        <f>'3.11 - Presupuesto gastos'!$I$12</f>
        <v>4138.7301393167236</v>
      </c>
      <c r="AY22" s="919">
        <f>'3.11 - Presupuesto gastos'!$I$12</f>
        <v>4138.7301393167236</v>
      </c>
      <c r="AZ22" s="919">
        <f>'3.11 - Presupuesto gastos'!$I$12</f>
        <v>4138.7301393167236</v>
      </c>
      <c r="BA22" s="919">
        <f>'3.11 - Presupuesto gastos'!$I$12</f>
        <v>4138.7301393167236</v>
      </c>
      <c r="BB22" s="940">
        <f>'3.11 - Presupuesto gastos'!$I$12</f>
        <v>4138.7301393167236</v>
      </c>
      <c r="BC22" s="935">
        <f t="shared" si="3"/>
        <v>49664.761671800668</v>
      </c>
      <c r="BD22" s="934">
        <f>'3.11 - Presupuesto gastos'!$K$12</f>
        <v>4229.7822023816916</v>
      </c>
      <c r="BE22" s="919">
        <f>'3.11 - Presupuesto gastos'!$K$12</f>
        <v>4229.7822023816916</v>
      </c>
      <c r="BF22" s="919">
        <f>'3.11 - Presupuesto gastos'!$K$12</f>
        <v>4229.7822023816916</v>
      </c>
      <c r="BG22" s="919">
        <f>'3.11 - Presupuesto gastos'!$K$12</f>
        <v>4229.7822023816916</v>
      </c>
      <c r="BH22" s="919">
        <f>'3.11 - Presupuesto gastos'!$K$12</f>
        <v>4229.7822023816916</v>
      </c>
      <c r="BI22" s="919">
        <f>'3.11 - Presupuesto gastos'!$K$12</f>
        <v>4229.7822023816916</v>
      </c>
      <c r="BJ22" s="919">
        <f>'3.11 - Presupuesto gastos'!$K$12</f>
        <v>4229.7822023816916</v>
      </c>
      <c r="BK22" s="919">
        <f>'3.11 - Presupuesto gastos'!$K$12</f>
        <v>4229.7822023816916</v>
      </c>
      <c r="BL22" s="919">
        <f>'3.11 - Presupuesto gastos'!$K$12</f>
        <v>4229.7822023816916</v>
      </c>
      <c r="BM22" s="919">
        <f>'3.11 - Presupuesto gastos'!$K$12</f>
        <v>4229.7822023816916</v>
      </c>
      <c r="BN22" s="919">
        <f>'3.11 - Presupuesto gastos'!$K$12</f>
        <v>4229.7822023816916</v>
      </c>
      <c r="BO22" s="940">
        <f>'3.11 - Presupuesto gastos'!$K$12</f>
        <v>4229.7822023816916</v>
      </c>
      <c r="BP22" s="935">
        <f t="shared" ref="BP22:BP35" si="5">SUM(BD22:BO22)</f>
        <v>50757.386428580299</v>
      </c>
    </row>
    <row r="23" spans="2:68" ht="15" thickBot="1">
      <c r="B23" s="1372" t="s">
        <v>608</v>
      </c>
      <c r="C23" s="1110"/>
      <c r="D23" s="1128">
        <f>'3.11 - Presupuesto gastos'!$C$13</f>
        <v>3591.0224438902742</v>
      </c>
      <c r="E23" s="1112">
        <f>'3.11 - Presupuesto gastos'!$C$13</f>
        <v>3591.0224438902742</v>
      </c>
      <c r="F23" s="1112">
        <f>'3.11 - Presupuesto gastos'!$C$13</f>
        <v>3591.0224438902742</v>
      </c>
      <c r="G23" s="1112">
        <f>'3.11 - Presupuesto gastos'!$C$13</f>
        <v>3591.0224438902742</v>
      </c>
      <c r="H23" s="1112">
        <f>'3.11 - Presupuesto gastos'!$C$13</f>
        <v>3591.0224438902742</v>
      </c>
      <c r="I23" s="1112">
        <f>'3.11 - Presupuesto gastos'!$C$13</f>
        <v>3591.0224438902742</v>
      </c>
      <c r="J23" s="1112">
        <f>'3.11 - Presupuesto gastos'!$C$13</f>
        <v>3591.0224438902742</v>
      </c>
      <c r="K23" s="1112">
        <f>'3.11 - Presupuesto gastos'!$C$13</f>
        <v>3591.0224438902742</v>
      </c>
      <c r="L23" s="1112">
        <f>'3.11 - Presupuesto gastos'!$C$13</f>
        <v>3591.0224438902742</v>
      </c>
      <c r="M23" s="1112">
        <f>'3.11 - Presupuesto gastos'!$C$13</f>
        <v>3591.0224438902742</v>
      </c>
      <c r="N23" s="1112">
        <f>'3.11 - Presupuesto gastos'!$C$13</f>
        <v>3591.0224438902742</v>
      </c>
      <c r="O23" s="1129">
        <f>'3.11 - Presupuesto gastos'!$C$13</f>
        <v>3591.0224438902742</v>
      </c>
      <c r="P23" s="1114">
        <f t="shared" si="0"/>
        <v>43092.269326683287</v>
      </c>
      <c r="Q23" s="1111">
        <f>'3.11 - Presupuesto gastos'!$E$13</f>
        <v>3670.0249376558604</v>
      </c>
      <c r="R23" s="1112">
        <f>'3.11 - Presupuesto gastos'!$E$13</f>
        <v>3670.0249376558604</v>
      </c>
      <c r="S23" s="1112">
        <f>'3.11 - Presupuesto gastos'!$E$13</f>
        <v>3670.0249376558604</v>
      </c>
      <c r="T23" s="1112">
        <f>'3.11 - Presupuesto gastos'!$E$13</f>
        <v>3670.0249376558604</v>
      </c>
      <c r="U23" s="1112">
        <f>'3.11 - Presupuesto gastos'!$E$13</f>
        <v>3670.0249376558604</v>
      </c>
      <c r="V23" s="1112">
        <f>'3.11 - Presupuesto gastos'!$E$13</f>
        <v>3670.0249376558604</v>
      </c>
      <c r="W23" s="1112">
        <f>'3.11 - Presupuesto gastos'!$E$13</f>
        <v>3670.0249376558604</v>
      </c>
      <c r="X23" s="1112">
        <f>'3.11 - Presupuesto gastos'!$E$13</f>
        <v>3670.0249376558604</v>
      </c>
      <c r="Y23" s="1112">
        <f>'3.11 - Presupuesto gastos'!$E$13</f>
        <v>3670.0249376558604</v>
      </c>
      <c r="Z23" s="1112">
        <f>'3.11 - Presupuesto gastos'!$E$13</f>
        <v>3670.0249376558604</v>
      </c>
      <c r="AA23" s="1112">
        <f>'3.11 - Presupuesto gastos'!$E$13</f>
        <v>3670.0249376558604</v>
      </c>
      <c r="AB23" s="1113">
        <f>'3.11 - Presupuesto gastos'!$E$13</f>
        <v>3670.0249376558604</v>
      </c>
      <c r="AC23" s="1114">
        <f t="shared" si="1"/>
        <v>44040.29925187034</v>
      </c>
      <c r="AD23" s="1115">
        <f>'3.11 - Presupuesto gastos'!$G$13</f>
        <v>3750.7654862842892</v>
      </c>
      <c r="AE23" s="1116">
        <f>'3.11 - Presupuesto gastos'!$G$13</f>
        <v>3750.7654862842892</v>
      </c>
      <c r="AF23" s="1116">
        <f>'3.11 - Presupuesto gastos'!$G$13</f>
        <v>3750.7654862842892</v>
      </c>
      <c r="AG23" s="1116">
        <f>'3.11 - Presupuesto gastos'!$G$13</f>
        <v>3750.7654862842892</v>
      </c>
      <c r="AH23" s="1116">
        <f>'3.11 - Presupuesto gastos'!$G$13</f>
        <v>3750.7654862842892</v>
      </c>
      <c r="AI23" s="1116">
        <f>'3.11 - Presupuesto gastos'!$G$13</f>
        <v>3750.7654862842892</v>
      </c>
      <c r="AJ23" s="1116">
        <f>'3.11 - Presupuesto gastos'!$G$13</f>
        <v>3750.7654862842892</v>
      </c>
      <c r="AK23" s="1116">
        <f>'3.11 - Presupuesto gastos'!$G$13</f>
        <v>3750.7654862842892</v>
      </c>
      <c r="AL23" s="1116">
        <f>'3.11 - Presupuesto gastos'!$G$13</f>
        <v>3750.7654862842892</v>
      </c>
      <c r="AM23" s="1116">
        <f>'3.11 - Presupuesto gastos'!$G$13</f>
        <v>3750.7654862842892</v>
      </c>
      <c r="AN23" s="1116">
        <f>'3.11 - Presupuesto gastos'!$G$13</f>
        <v>3750.7654862842892</v>
      </c>
      <c r="AO23" s="1117">
        <f>'3.11 - Presupuesto gastos'!$G$13</f>
        <v>3750.7654862842892</v>
      </c>
      <c r="AP23" s="1114">
        <f t="shared" si="2"/>
        <v>45009.185835411474</v>
      </c>
      <c r="AQ23" s="1111">
        <f>'3.11 - Presupuesto gastos'!$I$13</f>
        <v>3833.282326982544</v>
      </c>
      <c r="AR23" s="1111">
        <f>'3.11 - Presupuesto gastos'!$I$13</f>
        <v>3833.282326982544</v>
      </c>
      <c r="AS23" s="1111">
        <f>'3.11 - Presupuesto gastos'!$I$13</f>
        <v>3833.282326982544</v>
      </c>
      <c r="AT23" s="1111">
        <f>'3.11 - Presupuesto gastos'!$I$13</f>
        <v>3833.282326982544</v>
      </c>
      <c r="AU23" s="1111">
        <f>'3.11 - Presupuesto gastos'!$I$13</f>
        <v>3833.282326982544</v>
      </c>
      <c r="AV23" s="1111">
        <f>'3.11 - Presupuesto gastos'!$I$13</f>
        <v>3833.282326982544</v>
      </c>
      <c r="AW23" s="1111">
        <f>'3.11 - Presupuesto gastos'!$I$13</f>
        <v>3833.282326982544</v>
      </c>
      <c r="AX23" s="1111">
        <f>'3.11 - Presupuesto gastos'!$I$13</f>
        <v>3833.282326982544</v>
      </c>
      <c r="AY23" s="1111">
        <f>'3.11 - Presupuesto gastos'!$I$13</f>
        <v>3833.282326982544</v>
      </c>
      <c r="AZ23" s="1111">
        <f>'3.11 - Presupuesto gastos'!$I$13</f>
        <v>3833.282326982544</v>
      </c>
      <c r="BA23" s="1111">
        <f>'3.11 - Presupuesto gastos'!$I$13</f>
        <v>3833.282326982544</v>
      </c>
      <c r="BB23" s="1118">
        <f>'3.11 - Presupuesto gastos'!$I$13</f>
        <v>3833.282326982544</v>
      </c>
      <c r="BC23" s="1114">
        <f t="shared" si="3"/>
        <v>45999.387923790542</v>
      </c>
      <c r="BD23" s="1111">
        <f>'3.11 - Presupuesto gastos'!$K$13</f>
        <v>3917.6145381761598</v>
      </c>
      <c r="BE23" s="1111">
        <f>'3.11 - Presupuesto gastos'!$K$13</f>
        <v>3917.6145381761598</v>
      </c>
      <c r="BF23" s="1111">
        <f>'3.11 - Presupuesto gastos'!$K$13</f>
        <v>3917.6145381761598</v>
      </c>
      <c r="BG23" s="1111">
        <f>'3.11 - Presupuesto gastos'!$K$13</f>
        <v>3917.6145381761598</v>
      </c>
      <c r="BH23" s="1111">
        <f>'3.11 - Presupuesto gastos'!$K$13</f>
        <v>3917.6145381761598</v>
      </c>
      <c r="BI23" s="1111">
        <f>'3.11 - Presupuesto gastos'!$K$13</f>
        <v>3917.6145381761598</v>
      </c>
      <c r="BJ23" s="1111">
        <f>'3.11 - Presupuesto gastos'!$K$13</f>
        <v>3917.6145381761598</v>
      </c>
      <c r="BK23" s="1111">
        <f>'3.11 - Presupuesto gastos'!$K$13</f>
        <v>3917.6145381761598</v>
      </c>
      <c r="BL23" s="1111">
        <f>'3.11 - Presupuesto gastos'!$K$13</f>
        <v>3917.6145381761598</v>
      </c>
      <c r="BM23" s="1111">
        <f>'3.11 - Presupuesto gastos'!$K$13</f>
        <v>3917.6145381761598</v>
      </c>
      <c r="BN23" s="1111">
        <f>'3.11 - Presupuesto gastos'!$K$13</f>
        <v>3917.6145381761598</v>
      </c>
      <c r="BO23" s="1118">
        <f>'3.11 - Presupuesto gastos'!$K$13</f>
        <v>3917.6145381761598</v>
      </c>
      <c r="BP23" s="1114">
        <f t="shared" si="5"/>
        <v>47011.374458113918</v>
      </c>
    </row>
    <row r="24" spans="2:68">
      <c r="B24" s="1727" t="s">
        <v>1155</v>
      </c>
      <c r="C24" s="313" t="s">
        <v>1030</v>
      </c>
      <c r="D24" s="958">
        <f>'3.11 - Presupuesto gastos'!$C$14</f>
        <v>453.11521197007482</v>
      </c>
      <c r="E24" s="938">
        <f>'3.11 - Presupuesto gastos'!$C$14</f>
        <v>453.11521197007482</v>
      </c>
      <c r="F24" s="938">
        <f>'3.11 - Presupuesto gastos'!$C$14</f>
        <v>453.11521197007482</v>
      </c>
      <c r="G24" s="938">
        <f>'3.11 - Presupuesto gastos'!$C$14</f>
        <v>453.11521197007482</v>
      </c>
      <c r="H24" s="938">
        <f>'3.11 - Presupuesto gastos'!$C$14</f>
        <v>453.11521197007482</v>
      </c>
      <c r="I24" s="938">
        <f>'3.11 - Presupuesto gastos'!$C$14</f>
        <v>453.11521197007482</v>
      </c>
      <c r="J24" s="938">
        <f>'3.11 - Presupuesto gastos'!$C$14</f>
        <v>453.11521197007482</v>
      </c>
      <c r="K24" s="938">
        <f>'3.11 - Presupuesto gastos'!$C$14</f>
        <v>453.11521197007482</v>
      </c>
      <c r="L24" s="938">
        <f>'3.11 - Presupuesto gastos'!$C$14</f>
        <v>453.11521197007482</v>
      </c>
      <c r="M24" s="938">
        <f>'3.11 - Presupuesto gastos'!$C$14</f>
        <v>453.11521197007482</v>
      </c>
      <c r="N24" s="938">
        <f>'3.11 - Presupuesto gastos'!$C$14</f>
        <v>453.11521197007482</v>
      </c>
      <c r="O24" s="1126">
        <f>'3.11 - Presupuesto gastos'!$C$14</f>
        <v>453.11521197007482</v>
      </c>
      <c r="P24" s="932">
        <f t="shared" si="0"/>
        <v>5437.3825436408961</v>
      </c>
      <c r="Q24" s="931">
        <f>'3.11 - Presupuesto gastos'!$E$14</f>
        <v>463.08374663341647</v>
      </c>
      <c r="R24" s="938">
        <f>'3.11 - Presupuesto gastos'!$E$14</f>
        <v>463.08374663341647</v>
      </c>
      <c r="S24" s="938">
        <f>'3.11 - Presupuesto gastos'!$E$14</f>
        <v>463.08374663341647</v>
      </c>
      <c r="T24" s="938">
        <f>'3.11 - Presupuesto gastos'!$E$14</f>
        <v>463.08374663341647</v>
      </c>
      <c r="U24" s="938">
        <f>'3.11 - Presupuesto gastos'!$E$14</f>
        <v>463.08374663341647</v>
      </c>
      <c r="V24" s="938">
        <f>'3.11 - Presupuesto gastos'!$E$14</f>
        <v>463.08374663341647</v>
      </c>
      <c r="W24" s="938">
        <f>'3.11 - Presupuesto gastos'!$E$14</f>
        <v>463.08374663341647</v>
      </c>
      <c r="X24" s="938">
        <f>'3.11 - Presupuesto gastos'!$E$14</f>
        <v>463.08374663341647</v>
      </c>
      <c r="Y24" s="938">
        <f>'3.11 - Presupuesto gastos'!$E$14</f>
        <v>463.08374663341647</v>
      </c>
      <c r="Z24" s="938">
        <f>'3.11 - Presupuesto gastos'!$E$14</f>
        <v>463.08374663341647</v>
      </c>
      <c r="AA24" s="938">
        <f>'3.11 - Presupuesto gastos'!$E$14</f>
        <v>463.08374663341647</v>
      </c>
      <c r="AB24" s="939">
        <f>'3.11 - Presupuesto gastos'!$E$14</f>
        <v>463.08374663341647</v>
      </c>
      <c r="AC24" s="932">
        <f t="shared" si="1"/>
        <v>5557.0049596009958</v>
      </c>
      <c r="AD24" s="933">
        <f>'3.11 - Presupuesto gastos'!$G$14</f>
        <v>0</v>
      </c>
      <c r="AE24" s="969">
        <f>'3.11 - Presupuesto gastos'!$G$14</f>
        <v>0</v>
      </c>
      <c r="AF24" s="969">
        <f>'3.11 - Presupuesto gastos'!$G$14</f>
        <v>0</v>
      </c>
      <c r="AG24" s="969">
        <f>'3.11 - Presupuesto gastos'!$G$14</f>
        <v>0</v>
      </c>
      <c r="AH24" s="969">
        <f>'3.11 - Presupuesto gastos'!$G$14</f>
        <v>0</v>
      </c>
      <c r="AI24" s="969">
        <f>'3.11 - Presupuesto gastos'!$G$14</f>
        <v>0</v>
      </c>
      <c r="AJ24" s="969">
        <f>'3.11 - Presupuesto gastos'!$G$14</f>
        <v>0</v>
      </c>
      <c r="AK24" s="969">
        <f>'3.11 - Presupuesto gastos'!$G$14</f>
        <v>0</v>
      </c>
      <c r="AL24" s="969">
        <f>'3.11 - Presupuesto gastos'!$G$14</f>
        <v>0</v>
      </c>
      <c r="AM24" s="969">
        <f>'3.11 - Presupuesto gastos'!$G$14</f>
        <v>0</v>
      </c>
      <c r="AN24" s="969">
        <f>'3.11 - Presupuesto gastos'!$G$14</f>
        <v>0</v>
      </c>
      <c r="AO24" s="974">
        <f>'3.11 - Presupuesto gastos'!$G$14</f>
        <v>0</v>
      </c>
      <c r="AP24" s="932">
        <f t="shared" si="2"/>
        <v>0</v>
      </c>
      <c r="AQ24" s="931">
        <f>'3.11 - Presupuesto gastos'!$I$14</f>
        <v>0</v>
      </c>
      <c r="AR24" s="938">
        <f>'3.11 - Presupuesto gastos'!$I$14</f>
        <v>0</v>
      </c>
      <c r="AS24" s="938">
        <f>'3.11 - Presupuesto gastos'!$I$14</f>
        <v>0</v>
      </c>
      <c r="AT24" s="938">
        <f>'3.11 - Presupuesto gastos'!$I$14</f>
        <v>0</v>
      </c>
      <c r="AU24" s="938">
        <f>'3.11 - Presupuesto gastos'!$I$14</f>
        <v>0</v>
      </c>
      <c r="AV24" s="938">
        <f>'3.11 - Presupuesto gastos'!$I$14</f>
        <v>0</v>
      </c>
      <c r="AW24" s="938">
        <f>'3.11 - Presupuesto gastos'!$I$14</f>
        <v>0</v>
      </c>
      <c r="AX24" s="938">
        <f>'3.11 - Presupuesto gastos'!$I$14</f>
        <v>0</v>
      </c>
      <c r="AY24" s="938">
        <f>'3.11 - Presupuesto gastos'!$I$14</f>
        <v>0</v>
      </c>
      <c r="AZ24" s="938">
        <f>'3.11 - Presupuesto gastos'!$I$14</f>
        <v>0</v>
      </c>
      <c r="BA24" s="938">
        <f>'3.11 - Presupuesto gastos'!$I$14</f>
        <v>0</v>
      </c>
      <c r="BB24" s="939">
        <f>'3.11 - Presupuesto gastos'!$I$14</f>
        <v>0</v>
      </c>
      <c r="BC24" s="932">
        <f t="shared" si="3"/>
        <v>0</v>
      </c>
      <c r="BD24" s="931">
        <f>'3.11 - Presupuesto gastos'!$K$14</f>
        <v>0</v>
      </c>
      <c r="BE24" s="938">
        <f>'3.11 - Presupuesto gastos'!$K$14</f>
        <v>0</v>
      </c>
      <c r="BF24" s="938">
        <f>'3.11 - Presupuesto gastos'!$K$14</f>
        <v>0</v>
      </c>
      <c r="BG24" s="938">
        <f>'3.11 - Presupuesto gastos'!$K$14</f>
        <v>0</v>
      </c>
      <c r="BH24" s="938">
        <f>'3.11 - Presupuesto gastos'!$K$14</f>
        <v>0</v>
      </c>
      <c r="BI24" s="938">
        <f>'3.11 - Presupuesto gastos'!$K$14</f>
        <v>0</v>
      </c>
      <c r="BJ24" s="938">
        <f>'3.11 - Presupuesto gastos'!$K$14</f>
        <v>0</v>
      </c>
      <c r="BK24" s="938">
        <f>'3.11 - Presupuesto gastos'!$K$14</f>
        <v>0</v>
      </c>
      <c r="BL24" s="938">
        <f>'3.11 - Presupuesto gastos'!$K$14</f>
        <v>0</v>
      </c>
      <c r="BM24" s="938">
        <f>'3.11 - Presupuesto gastos'!$K$14</f>
        <v>0</v>
      </c>
      <c r="BN24" s="938">
        <f>'3.11 - Presupuesto gastos'!$K$14</f>
        <v>0</v>
      </c>
      <c r="BO24" s="939">
        <f>'3.11 - Presupuesto gastos'!$K$14</f>
        <v>0</v>
      </c>
      <c r="BP24" s="932">
        <f t="shared" si="5"/>
        <v>0</v>
      </c>
    </row>
    <row r="25" spans="2:68">
      <c r="B25" s="1728"/>
      <c r="C25" s="274" t="s">
        <v>1031</v>
      </c>
      <c r="D25" s="961">
        <f>'3.11 - Presupuesto gastos'!$C$15</f>
        <v>754.88279301745638</v>
      </c>
      <c r="E25" s="929">
        <f>'3.11 - Presupuesto gastos'!$C$15</f>
        <v>754.88279301745638</v>
      </c>
      <c r="F25" s="929">
        <f>'3.11 - Presupuesto gastos'!$C$15</f>
        <v>754.88279301745638</v>
      </c>
      <c r="G25" s="929">
        <f>'3.11 - Presupuesto gastos'!$C$15</f>
        <v>754.88279301745638</v>
      </c>
      <c r="H25" s="929">
        <f>'3.11 - Presupuesto gastos'!$C$15</f>
        <v>754.88279301745638</v>
      </c>
      <c r="I25" s="929">
        <f>'3.11 - Presupuesto gastos'!$C$15</f>
        <v>754.88279301745638</v>
      </c>
      <c r="J25" s="929">
        <f>'3.11 - Presupuesto gastos'!$C$15</f>
        <v>754.88279301745638</v>
      </c>
      <c r="K25" s="929">
        <f>'3.11 - Presupuesto gastos'!$C$15</f>
        <v>754.88279301745638</v>
      </c>
      <c r="L25" s="929">
        <f>'3.11 - Presupuesto gastos'!$C$15</f>
        <v>754.88279301745638</v>
      </c>
      <c r="M25" s="929">
        <f>'3.11 - Presupuesto gastos'!$C$15</f>
        <v>754.88279301745638</v>
      </c>
      <c r="N25" s="929">
        <f>'3.11 - Presupuesto gastos'!$C$15</f>
        <v>754.88279301745638</v>
      </c>
      <c r="O25" s="1127">
        <f>'3.11 - Presupuesto gastos'!$C$15</f>
        <v>754.88279301745638</v>
      </c>
      <c r="P25" s="943">
        <f t="shared" si="0"/>
        <v>9058.5935162094775</v>
      </c>
      <c r="Q25" s="941">
        <f>'3.11 - Presupuesto gastos'!$E$15</f>
        <v>771.49021446384052</v>
      </c>
      <c r="R25" s="929">
        <f>'3.11 - Presupuesto gastos'!$E$15</f>
        <v>771.49021446384052</v>
      </c>
      <c r="S25" s="929">
        <f>'3.11 - Presupuesto gastos'!$E$15</f>
        <v>771.49021446384052</v>
      </c>
      <c r="T25" s="929">
        <f>'3.11 - Presupuesto gastos'!$E$15</f>
        <v>771.49021446384052</v>
      </c>
      <c r="U25" s="929">
        <f>'3.11 - Presupuesto gastos'!$E$15</f>
        <v>771.49021446384052</v>
      </c>
      <c r="V25" s="929">
        <f>'3.11 - Presupuesto gastos'!$E$15</f>
        <v>771.49021446384052</v>
      </c>
      <c r="W25" s="929">
        <f>'3.11 - Presupuesto gastos'!$E$15</f>
        <v>771.49021446384052</v>
      </c>
      <c r="X25" s="929">
        <f>'3.11 - Presupuesto gastos'!$E$15</f>
        <v>771.49021446384052</v>
      </c>
      <c r="Y25" s="929">
        <f>'3.11 - Presupuesto gastos'!$E$15</f>
        <v>771.49021446384052</v>
      </c>
      <c r="Z25" s="929">
        <f>'3.11 - Presupuesto gastos'!$E$15</f>
        <v>771.49021446384052</v>
      </c>
      <c r="AA25" s="929">
        <f>'3.11 - Presupuesto gastos'!$E$15</f>
        <v>771.49021446384052</v>
      </c>
      <c r="AB25" s="942">
        <f>'3.11 - Presupuesto gastos'!$E$15</f>
        <v>771.49021446384052</v>
      </c>
      <c r="AC25" s="943">
        <f t="shared" si="1"/>
        <v>9257.8825735660866</v>
      </c>
      <c r="AD25" s="921">
        <f>'3.11 - Presupuesto gastos'!$G$15</f>
        <v>0</v>
      </c>
      <c r="AE25" s="968">
        <f>'3.11 - Presupuesto gastos'!$G$15</f>
        <v>0</v>
      </c>
      <c r="AF25" s="968">
        <f>'3.11 - Presupuesto gastos'!$G$15</f>
        <v>0</v>
      </c>
      <c r="AG25" s="968">
        <f>'3.11 - Presupuesto gastos'!$G$15</f>
        <v>0</v>
      </c>
      <c r="AH25" s="968">
        <f>'3.11 - Presupuesto gastos'!$G$15</f>
        <v>0</v>
      </c>
      <c r="AI25" s="968">
        <f>'3.11 - Presupuesto gastos'!$G$15</f>
        <v>0</v>
      </c>
      <c r="AJ25" s="968">
        <f>'3.11 - Presupuesto gastos'!$G$15</f>
        <v>0</v>
      </c>
      <c r="AK25" s="968">
        <f>'3.11 - Presupuesto gastos'!$G$15</f>
        <v>0</v>
      </c>
      <c r="AL25" s="968">
        <f>'3.11 - Presupuesto gastos'!$G$15</f>
        <v>0</v>
      </c>
      <c r="AM25" s="968">
        <f>'3.11 - Presupuesto gastos'!$G$15</f>
        <v>0</v>
      </c>
      <c r="AN25" s="968">
        <f>'3.11 - Presupuesto gastos'!$G$15</f>
        <v>0</v>
      </c>
      <c r="AO25" s="975">
        <f>'3.11 - Presupuesto gastos'!$G$15</f>
        <v>0</v>
      </c>
      <c r="AP25" s="943">
        <f t="shared" si="2"/>
        <v>0</v>
      </c>
      <c r="AQ25" s="941">
        <f>'3.11 - Presupuesto gastos'!$I$15</f>
        <v>0</v>
      </c>
      <c r="AR25" s="929">
        <f>'3.11 - Presupuesto gastos'!$I$15</f>
        <v>0</v>
      </c>
      <c r="AS25" s="929">
        <f>'3.11 - Presupuesto gastos'!$I$15</f>
        <v>0</v>
      </c>
      <c r="AT25" s="929">
        <f>'3.11 - Presupuesto gastos'!$I$15</f>
        <v>0</v>
      </c>
      <c r="AU25" s="929">
        <f>'3.11 - Presupuesto gastos'!$I$15</f>
        <v>0</v>
      </c>
      <c r="AV25" s="929">
        <f>'3.11 - Presupuesto gastos'!$I$15</f>
        <v>0</v>
      </c>
      <c r="AW25" s="929">
        <f>'3.11 - Presupuesto gastos'!$I$15</f>
        <v>0</v>
      </c>
      <c r="AX25" s="929">
        <f>'3.11 - Presupuesto gastos'!$I$15</f>
        <v>0</v>
      </c>
      <c r="AY25" s="929">
        <f>'3.11 - Presupuesto gastos'!$I$15</f>
        <v>0</v>
      </c>
      <c r="AZ25" s="929">
        <f>'3.11 - Presupuesto gastos'!$I$15</f>
        <v>0</v>
      </c>
      <c r="BA25" s="929">
        <f>'3.11 - Presupuesto gastos'!$I$15</f>
        <v>0</v>
      </c>
      <c r="BB25" s="942">
        <f>'3.11 - Presupuesto gastos'!$I$15</f>
        <v>0</v>
      </c>
      <c r="BC25" s="943">
        <f t="shared" si="3"/>
        <v>0</v>
      </c>
      <c r="BD25" s="941">
        <f>'3.11 - Presupuesto gastos'!$K$15</f>
        <v>0</v>
      </c>
      <c r="BE25" s="929">
        <f>'3.11 - Presupuesto gastos'!$K$15</f>
        <v>0</v>
      </c>
      <c r="BF25" s="929">
        <f>'3.11 - Presupuesto gastos'!$K$15</f>
        <v>0</v>
      </c>
      <c r="BG25" s="929">
        <f>'3.11 - Presupuesto gastos'!$K$15</f>
        <v>0</v>
      </c>
      <c r="BH25" s="929">
        <f>'3.11 - Presupuesto gastos'!$K$15</f>
        <v>0</v>
      </c>
      <c r="BI25" s="929">
        <f>'3.11 - Presupuesto gastos'!$K$15</f>
        <v>0</v>
      </c>
      <c r="BJ25" s="929">
        <f>'3.11 - Presupuesto gastos'!$K$15</f>
        <v>0</v>
      </c>
      <c r="BK25" s="929">
        <f>'3.11 - Presupuesto gastos'!$K$15</f>
        <v>0</v>
      </c>
      <c r="BL25" s="929">
        <f>'3.11 - Presupuesto gastos'!$K$15</f>
        <v>0</v>
      </c>
      <c r="BM25" s="929">
        <f>'3.11 - Presupuesto gastos'!$K$15</f>
        <v>0</v>
      </c>
      <c r="BN25" s="929">
        <f>'3.11 - Presupuesto gastos'!$K$15</f>
        <v>0</v>
      </c>
      <c r="BO25" s="942">
        <f>'3.11 - Presupuesto gastos'!$K$15</f>
        <v>0</v>
      </c>
      <c r="BP25" s="943">
        <f t="shared" si="5"/>
        <v>0</v>
      </c>
    </row>
    <row r="26" spans="2:68">
      <c r="B26" s="1728"/>
      <c r="C26" s="274" t="s">
        <v>1156</v>
      </c>
      <c r="D26" s="961">
        <f>'3.11 - Presupuesto gastos'!$C$16</f>
        <v>263.9920199501247</v>
      </c>
      <c r="E26" s="929">
        <f>'3.11 - Presupuesto gastos'!$C$16</f>
        <v>263.9920199501247</v>
      </c>
      <c r="F26" s="929">
        <f>'3.11 - Presupuesto gastos'!$C$16</f>
        <v>263.9920199501247</v>
      </c>
      <c r="G26" s="929">
        <f>'3.11 - Presupuesto gastos'!$C$16</f>
        <v>263.9920199501247</v>
      </c>
      <c r="H26" s="929">
        <f>'3.11 - Presupuesto gastos'!$C$16</f>
        <v>263.9920199501247</v>
      </c>
      <c r="I26" s="929">
        <f>'3.11 - Presupuesto gastos'!$C$16</f>
        <v>263.9920199501247</v>
      </c>
      <c r="J26" s="929">
        <f>'3.11 - Presupuesto gastos'!$C$16</f>
        <v>263.9920199501247</v>
      </c>
      <c r="K26" s="929">
        <f>'3.11 - Presupuesto gastos'!$C$16</f>
        <v>263.9920199501247</v>
      </c>
      <c r="L26" s="929">
        <f>'3.11 - Presupuesto gastos'!$C$16</f>
        <v>263.9920199501247</v>
      </c>
      <c r="M26" s="929">
        <f>'3.11 - Presupuesto gastos'!$C$16</f>
        <v>263.9920199501247</v>
      </c>
      <c r="N26" s="929">
        <f>'3.11 - Presupuesto gastos'!$C$16</f>
        <v>263.9920199501247</v>
      </c>
      <c r="O26" s="1127">
        <f>'3.11 - Presupuesto gastos'!$C$16</f>
        <v>263.9920199501247</v>
      </c>
      <c r="P26" s="943">
        <f t="shared" si="0"/>
        <v>3167.9042394014973</v>
      </c>
      <c r="Q26" s="941">
        <f>'3.11 - Presupuesto gastos'!$E$16</f>
        <v>316.44993915211973</v>
      </c>
      <c r="R26" s="929">
        <f>'3.11 - Presupuesto gastos'!$E$16</f>
        <v>316.44993915211973</v>
      </c>
      <c r="S26" s="929">
        <f>'3.11 - Presupuesto gastos'!$E$16</f>
        <v>316.44993915211973</v>
      </c>
      <c r="T26" s="929">
        <f>'3.11 - Presupuesto gastos'!$E$16</f>
        <v>316.44993915211973</v>
      </c>
      <c r="U26" s="929">
        <f>'3.11 - Presupuesto gastos'!$E$16</f>
        <v>316.44993915211973</v>
      </c>
      <c r="V26" s="929">
        <f>'3.11 - Presupuesto gastos'!$E$16</f>
        <v>316.44993915211973</v>
      </c>
      <c r="W26" s="929">
        <f>'3.11 - Presupuesto gastos'!$E$16</f>
        <v>316.44993915211973</v>
      </c>
      <c r="X26" s="929">
        <f>'3.11 - Presupuesto gastos'!$E$16</f>
        <v>316.44993915211973</v>
      </c>
      <c r="Y26" s="929">
        <f>'3.11 - Presupuesto gastos'!$E$16</f>
        <v>316.44993915211973</v>
      </c>
      <c r="Z26" s="929">
        <f>'3.11 - Presupuesto gastos'!$E$16</f>
        <v>316.44993915211973</v>
      </c>
      <c r="AA26" s="929">
        <f>'3.11 - Presupuesto gastos'!$E$16</f>
        <v>316.44993915211973</v>
      </c>
      <c r="AB26" s="942">
        <f>'3.11 - Presupuesto gastos'!$E$16</f>
        <v>316.44993915211973</v>
      </c>
      <c r="AC26" s="943">
        <f t="shared" si="1"/>
        <v>3797.3992698254374</v>
      </c>
      <c r="AD26" s="921">
        <f>'3.11 - Presupuesto gastos'!$G$16</f>
        <v>442.60282993316707</v>
      </c>
      <c r="AE26" s="968">
        <f>'3.11 - Presupuesto gastos'!$G$16</f>
        <v>442.60282993316707</v>
      </c>
      <c r="AF26" s="968">
        <f>'3.11 - Presupuesto gastos'!$G$16</f>
        <v>442.60282993316707</v>
      </c>
      <c r="AG26" s="968">
        <f>'3.11 - Presupuesto gastos'!$G$16</f>
        <v>442.60282993316707</v>
      </c>
      <c r="AH26" s="968">
        <f>'3.11 - Presupuesto gastos'!$G$16</f>
        <v>442.60282993316707</v>
      </c>
      <c r="AI26" s="968">
        <f>'3.11 - Presupuesto gastos'!$G$16</f>
        <v>442.60282993316707</v>
      </c>
      <c r="AJ26" s="968">
        <f>'3.11 - Presupuesto gastos'!$G$16</f>
        <v>442.60282993316707</v>
      </c>
      <c r="AK26" s="968">
        <f>'3.11 - Presupuesto gastos'!$G$16</f>
        <v>442.60282993316707</v>
      </c>
      <c r="AL26" s="968">
        <f>'3.11 - Presupuesto gastos'!$G$16</f>
        <v>442.60282993316707</v>
      </c>
      <c r="AM26" s="968">
        <f>'3.11 - Presupuesto gastos'!$G$16</f>
        <v>442.60282993316707</v>
      </c>
      <c r="AN26" s="968">
        <f>'3.11 - Presupuesto gastos'!$G$16</f>
        <v>442.60282993316707</v>
      </c>
      <c r="AO26" s="975">
        <f>'3.11 - Presupuesto gastos'!$G$16</f>
        <v>442.60282993316707</v>
      </c>
      <c r="AP26" s="943">
        <f t="shared" si="2"/>
        <v>5311.2339591980053</v>
      </c>
      <c r="AQ26" s="941">
        <f>'3.11 - Presupuesto gastos'!$I$16</f>
        <v>452.34009219169678</v>
      </c>
      <c r="AR26" s="929">
        <f>'3.11 - Presupuesto gastos'!$I$16</f>
        <v>452.34009219169678</v>
      </c>
      <c r="AS26" s="929">
        <f>'3.11 - Presupuesto gastos'!$I$16</f>
        <v>452.34009219169678</v>
      </c>
      <c r="AT26" s="929">
        <f>'3.11 - Presupuesto gastos'!$I$16</f>
        <v>452.34009219169678</v>
      </c>
      <c r="AU26" s="929">
        <f>'3.11 - Presupuesto gastos'!$I$16</f>
        <v>452.34009219169678</v>
      </c>
      <c r="AV26" s="929">
        <f>'3.11 - Presupuesto gastos'!$I$16</f>
        <v>452.34009219169678</v>
      </c>
      <c r="AW26" s="929">
        <f>'3.11 - Presupuesto gastos'!$I$16</f>
        <v>452.34009219169678</v>
      </c>
      <c r="AX26" s="929">
        <f>'3.11 - Presupuesto gastos'!$I$16</f>
        <v>452.34009219169678</v>
      </c>
      <c r="AY26" s="929">
        <f>'3.11 - Presupuesto gastos'!$I$16</f>
        <v>452.34009219169678</v>
      </c>
      <c r="AZ26" s="929">
        <f>'3.11 - Presupuesto gastos'!$I$16</f>
        <v>452.34009219169678</v>
      </c>
      <c r="BA26" s="929">
        <f>'3.11 - Presupuesto gastos'!$I$16</f>
        <v>452.34009219169678</v>
      </c>
      <c r="BB26" s="942">
        <f>'3.11 - Presupuesto gastos'!$I$16</f>
        <v>452.34009219169678</v>
      </c>
      <c r="BC26" s="943">
        <f t="shared" si="3"/>
        <v>5428.0811063003603</v>
      </c>
      <c r="BD26" s="941">
        <f>'3.11 - Presupuesto gastos'!$K$16</f>
        <v>574.33535001175221</v>
      </c>
      <c r="BE26" s="929">
        <f>'3.11 - Presupuesto gastos'!$K$16</f>
        <v>574.33535001175221</v>
      </c>
      <c r="BF26" s="929">
        <f>'3.11 - Presupuesto gastos'!$K$16</f>
        <v>574.33535001175221</v>
      </c>
      <c r="BG26" s="929">
        <f>'3.11 - Presupuesto gastos'!$K$16</f>
        <v>574.33535001175221</v>
      </c>
      <c r="BH26" s="929">
        <f>'3.11 - Presupuesto gastos'!$K$16</f>
        <v>574.33535001175221</v>
      </c>
      <c r="BI26" s="929">
        <f>'3.11 - Presupuesto gastos'!$K$16</f>
        <v>574.33535001175221</v>
      </c>
      <c r="BJ26" s="929">
        <f>'3.11 - Presupuesto gastos'!$K$16</f>
        <v>574.33535001175221</v>
      </c>
      <c r="BK26" s="929">
        <f>'3.11 - Presupuesto gastos'!$K$16</f>
        <v>574.33535001175221</v>
      </c>
      <c r="BL26" s="929">
        <f>'3.11 - Presupuesto gastos'!$K$16</f>
        <v>574.33535001175221</v>
      </c>
      <c r="BM26" s="929">
        <f>'3.11 - Presupuesto gastos'!$K$16</f>
        <v>574.33535001175221</v>
      </c>
      <c r="BN26" s="929">
        <f>'3.11 - Presupuesto gastos'!$K$16</f>
        <v>574.33535001175221</v>
      </c>
      <c r="BO26" s="942">
        <f>'3.11 - Presupuesto gastos'!$K$16</f>
        <v>574.33535001175221</v>
      </c>
      <c r="BP26" s="943">
        <f t="shared" si="5"/>
        <v>6892.0242001410252</v>
      </c>
    </row>
    <row r="27" spans="2:68">
      <c r="B27" s="1728"/>
      <c r="C27" s="274" t="s">
        <v>966</v>
      </c>
      <c r="D27" s="961">
        <f>'3.11 - Presupuesto gastos'!$C$17</f>
        <v>5.4269326683291759</v>
      </c>
      <c r="E27" s="929">
        <f>'3.11 - Presupuesto gastos'!$C$17</f>
        <v>5.4269326683291759</v>
      </c>
      <c r="F27" s="929">
        <f>'3.11 - Presupuesto gastos'!$C$17</f>
        <v>5.4269326683291759</v>
      </c>
      <c r="G27" s="929">
        <f>'3.11 - Presupuesto gastos'!$C$17</f>
        <v>5.4269326683291759</v>
      </c>
      <c r="H27" s="929">
        <f>'3.11 - Presupuesto gastos'!$C$17</f>
        <v>5.4269326683291759</v>
      </c>
      <c r="I27" s="929">
        <f>'3.11 - Presupuesto gastos'!$C$17</f>
        <v>5.4269326683291759</v>
      </c>
      <c r="J27" s="929">
        <f>'3.11 - Presupuesto gastos'!$C$17</f>
        <v>5.4269326683291759</v>
      </c>
      <c r="K27" s="929">
        <f>'3.11 - Presupuesto gastos'!$C$17</f>
        <v>5.4269326683291759</v>
      </c>
      <c r="L27" s="929">
        <f>'3.11 - Presupuesto gastos'!$C$17</f>
        <v>5.4269326683291759</v>
      </c>
      <c r="M27" s="929">
        <f>'3.11 - Presupuesto gastos'!$C$17</f>
        <v>5.4269326683291759</v>
      </c>
      <c r="N27" s="929">
        <f>'3.11 - Presupuesto gastos'!$C$17</f>
        <v>5.4269326683291759</v>
      </c>
      <c r="O27" s="1127">
        <f>'3.11 - Presupuesto gastos'!$C$17</f>
        <v>5.4269326683291759</v>
      </c>
      <c r="P27" s="943">
        <f t="shared" si="0"/>
        <v>65.123192019950096</v>
      </c>
      <c r="Q27" s="941">
        <f>'3.11 - Presupuesto gastos'!$E$17</f>
        <v>10.03884858852868</v>
      </c>
      <c r="R27" s="929">
        <f>'3.11 - Presupuesto gastos'!$E$17</f>
        <v>10.03884858852868</v>
      </c>
      <c r="S27" s="929">
        <f>'3.11 - Presupuesto gastos'!$E$17</f>
        <v>10.03884858852868</v>
      </c>
      <c r="T27" s="929">
        <f>'3.11 - Presupuesto gastos'!$E$17</f>
        <v>10.03884858852868</v>
      </c>
      <c r="U27" s="929">
        <f>'3.11 - Presupuesto gastos'!$E$17</f>
        <v>10.03884858852868</v>
      </c>
      <c r="V27" s="929">
        <f>'3.11 - Presupuesto gastos'!$E$17</f>
        <v>10.03884858852868</v>
      </c>
      <c r="W27" s="929">
        <f>'3.11 - Presupuesto gastos'!$E$17</f>
        <v>10.03884858852868</v>
      </c>
      <c r="X27" s="929">
        <f>'3.11 - Presupuesto gastos'!$E$17</f>
        <v>10.03884858852868</v>
      </c>
      <c r="Y27" s="929">
        <f>'3.11 - Presupuesto gastos'!$E$17</f>
        <v>10.03884858852868</v>
      </c>
      <c r="Z27" s="929">
        <f>'3.11 - Presupuesto gastos'!$E$17</f>
        <v>10.03884858852868</v>
      </c>
      <c r="AA27" s="929">
        <f>'3.11 - Presupuesto gastos'!$E$17</f>
        <v>10.03884858852868</v>
      </c>
      <c r="AB27" s="942">
        <f>'3.11 - Presupuesto gastos'!$E$17</f>
        <v>10.03884858852868</v>
      </c>
      <c r="AC27" s="943">
        <f t="shared" si="1"/>
        <v>120.46618306234416</v>
      </c>
      <c r="AD27" s="921">
        <f>'3.11 - Presupuesto gastos'!$G$17</f>
        <v>17.288450240498751</v>
      </c>
      <c r="AE27" s="968">
        <f>'3.11 - Presupuesto gastos'!$G$17</f>
        <v>17.288450240498751</v>
      </c>
      <c r="AF27" s="968">
        <f>'3.11 - Presupuesto gastos'!$G$17</f>
        <v>17.288450240498751</v>
      </c>
      <c r="AG27" s="968">
        <f>'3.11 - Presupuesto gastos'!$G$17</f>
        <v>17.288450240498751</v>
      </c>
      <c r="AH27" s="968">
        <f>'3.11 - Presupuesto gastos'!$G$17</f>
        <v>17.288450240498751</v>
      </c>
      <c r="AI27" s="968">
        <f>'3.11 - Presupuesto gastos'!$G$17</f>
        <v>17.288450240498751</v>
      </c>
      <c r="AJ27" s="968">
        <f>'3.11 - Presupuesto gastos'!$G$17</f>
        <v>17.288450240498751</v>
      </c>
      <c r="AK27" s="968">
        <f>'3.11 - Presupuesto gastos'!$G$17</f>
        <v>17.288450240498751</v>
      </c>
      <c r="AL27" s="968">
        <f>'3.11 - Presupuesto gastos'!$G$17</f>
        <v>17.288450240498751</v>
      </c>
      <c r="AM27" s="968">
        <f>'3.11 - Presupuesto gastos'!$G$17</f>
        <v>17.288450240498751</v>
      </c>
      <c r="AN27" s="968">
        <f>'3.11 - Presupuesto gastos'!$G$17</f>
        <v>17.288450240498751</v>
      </c>
      <c r="AO27" s="975">
        <f>'3.11 - Presupuesto gastos'!$G$17</f>
        <v>17.288450240498751</v>
      </c>
      <c r="AP27" s="943">
        <f t="shared" si="2"/>
        <v>207.461402885985</v>
      </c>
      <c r="AQ27" s="941">
        <f>'3.11 - Presupuesto gastos'!$I$17</f>
        <v>26.6480204166009</v>
      </c>
      <c r="AR27" s="929">
        <f>'3.11 - Presupuesto gastos'!$I$17</f>
        <v>26.6480204166009</v>
      </c>
      <c r="AS27" s="929">
        <f>'3.11 - Presupuesto gastos'!$I$17</f>
        <v>26.6480204166009</v>
      </c>
      <c r="AT27" s="929">
        <f>'3.11 - Presupuesto gastos'!$I$17</f>
        <v>26.6480204166009</v>
      </c>
      <c r="AU27" s="929">
        <f>'3.11 - Presupuesto gastos'!$I$17</f>
        <v>26.6480204166009</v>
      </c>
      <c r="AV27" s="929">
        <f>'3.11 - Presupuesto gastos'!$I$17</f>
        <v>26.6480204166009</v>
      </c>
      <c r="AW27" s="929">
        <f>'3.11 - Presupuesto gastos'!$I$17</f>
        <v>26.6480204166009</v>
      </c>
      <c r="AX27" s="929">
        <f>'3.11 - Presupuesto gastos'!$I$17</f>
        <v>26.6480204166009</v>
      </c>
      <c r="AY27" s="929">
        <f>'3.11 - Presupuesto gastos'!$I$17</f>
        <v>26.6480204166009</v>
      </c>
      <c r="AZ27" s="929">
        <f>'3.11 - Presupuesto gastos'!$I$17</f>
        <v>26.6480204166009</v>
      </c>
      <c r="BA27" s="929">
        <f>'3.11 - Presupuesto gastos'!$I$17</f>
        <v>26.6480204166009</v>
      </c>
      <c r="BB27" s="942">
        <f>'3.11 - Presupuesto gastos'!$I$17</f>
        <v>26.6480204166009</v>
      </c>
      <c r="BC27" s="943">
        <f t="shared" si="3"/>
        <v>319.7762449992108</v>
      </c>
      <c r="BD27" s="941">
        <f>'3.11 - Presupuesto gastos'!$K$17</f>
        <v>45.587811275304155</v>
      </c>
      <c r="BE27" s="929">
        <f>'3.11 - Presupuesto gastos'!$K$17</f>
        <v>45.587811275304155</v>
      </c>
      <c r="BF27" s="929">
        <f>'3.11 - Presupuesto gastos'!$K$17</f>
        <v>45.587811275304155</v>
      </c>
      <c r="BG27" s="929">
        <f>'3.11 - Presupuesto gastos'!$K$17</f>
        <v>45.587811275304155</v>
      </c>
      <c r="BH27" s="929">
        <f>'3.11 - Presupuesto gastos'!$K$17</f>
        <v>45.587811275304155</v>
      </c>
      <c r="BI27" s="929">
        <f>'3.11 - Presupuesto gastos'!$K$17</f>
        <v>45.587811275304155</v>
      </c>
      <c r="BJ27" s="929">
        <f>'3.11 - Presupuesto gastos'!$K$17</f>
        <v>45.587811275304155</v>
      </c>
      <c r="BK27" s="929">
        <f>'3.11 - Presupuesto gastos'!$K$17</f>
        <v>45.587811275304155</v>
      </c>
      <c r="BL27" s="929">
        <f>'3.11 - Presupuesto gastos'!$K$17</f>
        <v>45.587811275304155</v>
      </c>
      <c r="BM27" s="929">
        <f>'3.11 - Presupuesto gastos'!$K$17</f>
        <v>45.587811275304155</v>
      </c>
      <c r="BN27" s="929">
        <f>'3.11 - Presupuesto gastos'!$K$17</f>
        <v>45.587811275304155</v>
      </c>
      <c r="BO27" s="942">
        <f>'3.11 - Presupuesto gastos'!$K$17</f>
        <v>45.587811275304155</v>
      </c>
      <c r="BP27" s="943">
        <f t="shared" si="5"/>
        <v>547.05373530364989</v>
      </c>
    </row>
    <row r="28" spans="2:68">
      <c r="B28" s="1728"/>
      <c r="C28" s="274" t="s">
        <v>1157</v>
      </c>
      <c r="D28" s="961">
        <f>'3.11 - Presupuesto gastos'!$C$18</f>
        <v>54.862842892768079</v>
      </c>
      <c r="E28" s="929">
        <f>'3.11 - Presupuesto gastos'!$C$18</f>
        <v>54.862842892768079</v>
      </c>
      <c r="F28" s="929">
        <f>'3.11 - Presupuesto gastos'!$C$18</f>
        <v>54.862842892768079</v>
      </c>
      <c r="G28" s="929">
        <f>'3.11 - Presupuesto gastos'!$C$18</f>
        <v>54.862842892768079</v>
      </c>
      <c r="H28" s="929">
        <f>'3.11 - Presupuesto gastos'!$C$18</f>
        <v>54.862842892768079</v>
      </c>
      <c r="I28" s="929">
        <f>'3.11 - Presupuesto gastos'!$C$18</f>
        <v>54.862842892768079</v>
      </c>
      <c r="J28" s="929">
        <f>'3.11 - Presupuesto gastos'!$C$18</f>
        <v>54.862842892768079</v>
      </c>
      <c r="K28" s="929">
        <f>'3.11 - Presupuesto gastos'!$C$18</f>
        <v>54.862842892768079</v>
      </c>
      <c r="L28" s="929">
        <f>'3.11 - Presupuesto gastos'!$C$18</f>
        <v>54.862842892768079</v>
      </c>
      <c r="M28" s="929">
        <f>'3.11 - Presupuesto gastos'!$C$18</f>
        <v>54.862842892768079</v>
      </c>
      <c r="N28" s="929">
        <f>'3.11 - Presupuesto gastos'!$C$18</f>
        <v>54.862842892768079</v>
      </c>
      <c r="O28" s="1127">
        <f>'3.11 - Presupuesto gastos'!$C$18</f>
        <v>54.862842892768079</v>
      </c>
      <c r="P28" s="943">
        <f t="shared" si="0"/>
        <v>658.35411471321697</v>
      </c>
      <c r="Q28" s="941">
        <f>'3.11 - Presupuesto gastos'!$E$18</f>
        <v>56.069825436408976</v>
      </c>
      <c r="R28" s="929">
        <f>'3.11 - Presupuesto gastos'!$E$18</f>
        <v>56.069825436408976</v>
      </c>
      <c r="S28" s="929">
        <f>'3.11 - Presupuesto gastos'!$E$18</f>
        <v>56.069825436408976</v>
      </c>
      <c r="T28" s="929">
        <f>'3.11 - Presupuesto gastos'!$E$18</f>
        <v>56.069825436408976</v>
      </c>
      <c r="U28" s="929">
        <f>'3.11 - Presupuesto gastos'!$E$18</f>
        <v>56.069825436408976</v>
      </c>
      <c r="V28" s="929">
        <f>'3.11 - Presupuesto gastos'!$E$18</f>
        <v>56.069825436408976</v>
      </c>
      <c r="W28" s="929">
        <f>'3.11 - Presupuesto gastos'!$E$18</f>
        <v>56.069825436408976</v>
      </c>
      <c r="X28" s="929">
        <f>'3.11 - Presupuesto gastos'!$E$18</f>
        <v>56.069825436408976</v>
      </c>
      <c r="Y28" s="929">
        <f>'3.11 - Presupuesto gastos'!$E$18</f>
        <v>56.069825436408976</v>
      </c>
      <c r="Z28" s="929">
        <f>'3.11 - Presupuesto gastos'!$E$18</f>
        <v>56.069825436408976</v>
      </c>
      <c r="AA28" s="929">
        <f>'3.11 - Presupuesto gastos'!$E$18</f>
        <v>56.069825436408976</v>
      </c>
      <c r="AB28" s="942">
        <f>'3.11 - Presupuesto gastos'!$E$18</f>
        <v>56.069825436408976</v>
      </c>
      <c r="AC28" s="943">
        <f t="shared" si="1"/>
        <v>672.83790523690777</v>
      </c>
      <c r="AD28" s="921">
        <f>'3.11 - Presupuesto gastos'!$G$18</f>
        <v>57.303361596009978</v>
      </c>
      <c r="AE28" s="968">
        <f>'3.11 - Presupuesto gastos'!$G$18</f>
        <v>57.303361596009978</v>
      </c>
      <c r="AF28" s="968">
        <f>'3.11 - Presupuesto gastos'!$G$18</f>
        <v>57.303361596009978</v>
      </c>
      <c r="AG28" s="968">
        <f>'3.11 - Presupuesto gastos'!$G$18</f>
        <v>57.303361596009978</v>
      </c>
      <c r="AH28" s="968">
        <f>'3.11 - Presupuesto gastos'!$G$18</f>
        <v>57.303361596009978</v>
      </c>
      <c r="AI28" s="968">
        <f>'3.11 - Presupuesto gastos'!$G$18</f>
        <v>57.303361596009978</v>
      </c>
      <c r="AJ28" s="968">
        <f>'3.11 - Presupuesto gastos'!$G$18</f>
        <v>57.303361596009978</v>
      </c>
      <c r="AK28" s="968">
        <f>'3.11 - Presupuesto gastos'!$G$18</f>
        <v>57.303361596009978</v>
      </c>
      <c r="AL28" s="968">
        <f>'3.11 - Presupuesto gastos'!$G$18</f>
        <v>57.303361596009978</v>
      </c>
      <c r="AM28" s="968">
        <f>'3.11 - Presupuesto gastos'!$G$18</f>
        <v>57.303361596009978</v>
      </c>
      <c r="AN28" s="968">
        <f>'3.11 - Presupuesto gastos'!$G$18</f>
        <v>57.303361596009978</v>
      </c>
      <c r="AO28" s="975">
        <f>'3.11 - Presupuesto gastos'!$G$18</f>
        <v>57.303361596009978</v>
      </c>
      <c r="AP28" s="943">
        <f t="shared" si="2"/>
        <v>687.64033915211951</v>
      </c>
      <c r="AQ28" s="941">
        <f>'3.11 - Presupuesto gastos'!$I$18</f>
        <v>58.564035551122203</v>
      </c>
      <c r="AR28" s="929">
        <f>'3.11 - Presupuesto gastos'!$I$18</f>
        <v>58.564035551122203</v>
      </c>
      <c r="AS28" s="929">
        <f>'3.11 - Presupuesto gastos'!$I$18</f>
        <v>58.564035551122203</v>
      </c>
      <c r="AT28" s="929">
        <f>'3.11 - Presupuesto gastos'!$I$18</f>
        <v>58.564035551122203</v>
      </c>
      <c r="AU28" s="929">
        <f>'3.11 - Presupuesto gastos'!$I$18</f>
        <v>58.564035551122203</v>
      </c>
      <c r="AV28" s="929">
        <f>'3.11 - Presupuesto gastos'!$I$18</f>
        <v>58.564035551122203</v>
      </c>
      <c r="AW28" s="929">
        <f>'3.11 - Presupuesto gastos'!$I$18</f>
        <v>58.564035551122203</v>
      </c>
      <c r="AX28" s="929">
        <f>'3.11 - Presupuesto gastos'!$I$18</f>
        <v>58.564035551122203</v>
      </c>
      <c r="AY28" s="929">
        <f>'3.11 - Presupuesto gastos'!$I$18</f>
        <v>58.564035551122203</v>
      </c>
      <c r="AZ28" s="929">
        <f>'3.11 - Presupuesto gastos'!$I$18</f>
        <v>58.564035551122203</v>
      </c>
      <c r="BA28" s="929">
        <f>'3.11 - Presupuesto gastos'!$I$18</f>
        <v>58.564035551122203</v>
      </c>
      <c r="BB28" s="942">
        <f>'3.11 - Presupuesto gastos'!$I$18</f>
        <v>58.564035551122203</v>
      </c>
      <c r="BC28" s="943">
        <f t="shared" si="3"/>
        <v>702.7684266134662</v>
      </c>
      <c r="BD28" s="941">
        <f>'3.11 - Presupuesto gastos'!$K$18</f>
        <v>59.852444333246893</v>
      </c>
      <c r="BE28" s="929">
        <f>'3.11 - Presupuesto gastos'!$K$18</f>
        <v>59.852444333246893</v>
      </c>
      <c r="BF28" s="929">
        <f>'3.11 - Presupuesto gastos'!$K$18</f>
        <v>59.852444333246893</v>
      </c>
      <c r="BG28" s="929">
        <f>'3.11 - Presupuesto gastos'!$K$18</f>
        <v>59.852444333246893</v>
      </c>
      <c r="BH28" s="929">
        <f>'3.11 - Presupuesto gastos'!$K$18</f>
        <v>59.852444333246893</v>
      </c>
      <c r="BI28" s="929">
        <f>'3.11 - Presupuesto gastos'!$K$18</f>
        <v>59.852444333246893</v>
      </c>
      <c r="BJ28" s="929">
        <f>'3.11 - Presupuesto gastos'!$K$18</f>
        <v>59.852444333246893</v>
      </c>
      <c r="BK28" s="929">
        <f>'3.11 - Presupuesto gastos'!$K$18</f>
        <v>59.852444333246893</v>
      </c>
      <c r="BL28" s="929">
        <f>'3.11 - Presupuesto gastos'!$K$18</f>
        <v>59.852444333246893</v>
      </c>
      <c r="BM28" s="929">
        <f>'3.11 - Presupuesto gastos'!$K$18</f>
        <v>59.852444333246893</v>
      </c>
      <c r="BN28" s="929">
        <f>'3.11 - Presupuesto gastos'!$K$18</f>
        <v>59.852444333246893</v>
      </c>
      <c r="BO28" s="942">
        <f>'3.11 - Presupuesto gastos'!$K$18</f>
        <v>59.852444333246893</v>
      </c>
      <c r="BP28" s="943">
        <f t="shared" si="5"/>
        <v>718.22933199896295</v>
      </c>
    </row>
    <row r="29" spans="2:68" ht="15" thickBot="1">
      <c r="B29" s="1729"/>
      <c r="C29" s="462" t="s">
        <v>1158</v>
      </c>
      <c r="D29" s="965">
        <f>'3.11 - Presupuesto gastos'!$C$19</f>
        <v>200</v>
      </c>
      <c r="E29" s="947">
        <f>'3.11 - Presupuesto gastos'!$C$19</f>
        <v>200</v>
      </c>
      <c r="F29" s="947">
        <f>'3.11 - Presupuesto gastos'!$C$19</f>
        <v>200</v>
      </c>
      <c r="G29" s="947">
        <f>'3.11 - Presupuesto gastos'!$C$19</f>
        <v>200</v>
      </c>
      <c r="H29" s="947">
        <f>'3.11 - Presupuesto gastos'!$C$19</f>
        <v>200</v>
      </c>
      <c r="I29" s="947">
        <f>'3.11 - Presupuesto gastos'!$C$19</f>
        <v>200</v>
      </c>
      <c r="J29" s="947">
        <f>'3.11 - Presupuesto gastos'!$C$19</f>
        <v>200</v>
      </c>
      <c r="K29" s="947">
        <f>'3.11 - Presupuesto gastos'!$C$19</f>
        <v>200</v>
      </c>
      <c r="L29" s="947">
        <f>'3.11 - Presupuesto gastos'!$C$19</f>
        <v>200</v>
      </c>
      <c r="M29" s="947">
        <f>'3.11 - Presupuesto gastos'!$C$19</f>
        <v>200</v>
      </c>
      <c r="N29" s="947">
        <f>'3.11 - Presupuesto gastos'!$C$19</f>
        <v>200</v>
      </c>
      <c r="O29" s="1130">
        <f>'3.11 - Presupuesto gastos'!$C$19</f>
        <v>200</v>
      </c>
      <c r="P29" s="920">
        <f t="shared" si="0"/>
        <v>2400</v>
      </c>
      <c r="Q29" s="946">
        <f>'3.11 - Presupuesto gastos'!$E$19</f>
        <v>300</v>
      </c>
      <c r="R29" s="947">
        <f>'3.11 - Presupuesto gastos'!$E$19</f>
        <v>300</v>
      </c>
      <c r="S29" s="947">
        <f>'3.11 - Presupuesto gastos'!$E$19</f>
        <v>300</v>
      </c>
      <c r="T29" s="947">
        <f>'3.11 - Presupuesto gastos'!$E$19</f>
        <v>300</v>
      </c>
      <c r="U29" s="947">
        <f>'3.11 - Presupuesto gastos'!$E$19</f>
        <v>300</v>
      </c>
      <c r="V29" s="947">
        <f>'3.11 - Presupuesto gastos'!$E$19</f>
        <v>300</v>
      </c>
      <c r="W29" s="947">
        <f>'3.11 - Presupuesto gastos'!$E$19</f>
        <v>300</v>
      </c>
      <c r="X29" s="947">
        <f>'3.11 - Presupuesto gastos'!$E$19</f>
        <v>300</v>
      </c>
      <c r="Y29" s="947">
        <f>'3.11 - Presupuesto gastos'!$E$19</f>
        <v>300</v>
      </c>
      <c r="Z29" s="947">
        <f>'3.11 - Presupuesto gastos'!$E$19</f>
        <v>300</v>
      </c>
      <c r="AA29" s="947">
        <f>'3.11 - Presupuesto gastos'!$E$19</f>
        <v>300</v>
      </c>
      <c r="AB29" s="948">
        <f>'3.11 - Presupuesto gastos'!$E$19</f>
        <v>300</v>
      </c>
      <c r="AC29" s="920">
        <f t="shared" si="1"/>
        <v>3600</v>
      </c>
      <c r="AD29" s="950">
        <f>'3.11 - Presupuesto gastos'!$G$19</f>
        <v>450</v>
      </c>
      <c r="AE29" s="1262">
        <f>'3.11 - Presupuesto gastos'!$G$19</f>
        <v>450</v>
      </c>
      <c r="AF29" s="1262">
        <f>'3.11 - Presupuesto gastos'!$G$19</f>
        <v>450</v>
      </c>
      <c r="AG29" s="1262">
        <f>'3.11 - Presupuesto gastos'!$G$19</f>
        <v>450</v>
      </c>
      <c r="AH29" s="1262">
        <f>'3.11 - Presupuesto gastos'!$G$19</f>
        <v>450</v>
      </c>
      <c r="AI29" s="1262">
        <f>'3.11 - Presupuesto gastos'!$G$19</f>
        <v>450</v>
      </c>
      <c r="AJ29" s="1262">
        <f>'3.11 - Presupuesto gastos'!$G$19</f>
        <v>450</v>
      </c>
      <c r="AK29" s="1262">
        <f>'3.11 - Presupuesto gastos'!$G$19</f>
        <v>450</v>
      </c>
      <c r="AL29" s="1262">
        <f>'3.11 - Presupuesto gastos'!$G$19</f>
        <v>450</v>
      </c>
      <c r="AM29" s="1262">
        <f>'3.11 - Presupuesto gastos'!$G$19</f>
        <v>450</v>
      </c>
      <c r="AN29" s="1262">
        <f>'3.11 - Presupuesto gastos'!$G$19</f>
        <v>450</v>
      </c>
      <c r="AO29" s="1263">
        <f>'3.11 - Presupuesto gastos'!$G$19</f>
        <v>450</v>
      </c>
      <c r="AP29" s="920">
        <f t="shared" si="2"/>
        <v>5400</v>
      </c>
      <c r="AQ29" s="946">
        <f>'3.11 - Presupuesto gastos'!$I$19</f>
        <v>459.90000000000003</v>
      </c>
      <c r="AR29" s="947">
        <f>'3.11 - Presupuesto gastos'!$I$19</f>
        <v>459.90000000000003</v>
      </c>
      <c r="AS29" s="947">
        <f>'3.11 - Presupuesto gastos'!$I$19</f>
        <v>459.90000000000003</v>
      </c>
      <c r="AT29" s="947">
        <f>'3.11 - Presupuesto gastos'!$I$19</f>
        <v>459.90000000000003</v>
      </c>
      <c r="AU29" s="947">
        <f>'3.11 - Presupuesto gastos'!$I$19</f>
        <v>459.90000000000003</v>
      </c>
      <c r="AV29" s="947">
        <f>'3.11 - Presupuesto gastos'!$I$19</f>
        <v>459.90000000000003</v>
      </c>
      <c r="AW29" s="947">
        <f>'3.11 - Presupuesto gastos'!$I$19</f>
        <v>459.90000000000003</v>
      </c>
      <c r="AX29" s="947">
        <f>'3.11 - Presupuesto gastos'!$I$19</f>
        <v>459.90000000000003</v>
      </c>
      <c r="AY29" s="947">
        <f>'3.11 - Presupuesto gastos'!$I$19</f>
        <v>459.90000000000003</v>
      </c>
      <c r="AZ29" s="947">
        <f>'3.11 - Presupuesto gastos'!$I$19</f>
        <v>459.90000000000003</v>
      </c>
      <c r="BA29" s="947">
        <f>'3.11 - Presupuesto gastos'!$I$19</f>
        <v>459.90000000000003</v>
      </c>
      <c r="BB29" s="948">
        <f>'3.11 - Presupuesto gastos'!$I$19</f>
        <v>459.90000000000003</v>
      </c>
      <c r="BC29" s="920">
        <f t="shared" si="3"/>
        <v>5518.7999999999993</v>
      </c>
      <c r="BD29" s="946">
        <f>'3.11 - Presupuesto gastos'!$K$19</f>
        <v>551.88</v>
      </c>
      <c r="BE29" s="947">
        <f>'3.11 - Presupuesto gastos'!$K$19</f>
        <v>551.88</v>
      </c>
      <c r="BF29" s="947">
        <f>'3.11 - Presupuesto gastos'!$K$19</f>
        <v>551.88</v>
      </c>
      <c r="BG29" s="947">
        <f>'3.11 - Presupuesto gastos'!$K$19</f>
        <v>551.88</v>
      </c>
      <c r="BH29" s="947">
        <f>'3.11 - Presupuesto gastos'!$K$19</f>
        <v>551.88</v>
      </c>
      <c r="BI29" s="947">
        <f>'3.11 - Presupuesto gastos'!$K$19</f>
        <v>551.88</v>
      </c>
      <c r="BJ29" s="947">
        <f>'3.11 - Presupuesto gastos'!$K$19</f>
        <v>551.88</v>
      </c>
      <c r="BK29" s="947">
        <f>'3.11 - Presupuesto gastos'!$K$19</f>
        <v>551.88</v>
      </c>
      <c r="BL29" s="947">
        <f>'3.11 - Presupuesto gastos'!$K$19</f>
        <v>551.88</v>
      </c>
      <c r="BM29" s="947">
        <f>'3.11 - Presupuesto gastos'!$K$19</f>
        <v>551.88</v>
      </c>
      <c r="BN29" s="947">
        <f>'3.11 - Presupuesto gastos'!$K$19</f>
        <v>551.88</v>
      </c>
      <c r="BO29" s="948">
        <f>'3.11 - Presupuesto gastos'!$K$19</f>
        <v>551.88</v>
      </c>
      <c r="BP29" s="920">
        <f t="shared" si="5"/>
        <v>6622.56</v>
      </c>
    </row>
    <row r="30" spans="2:68">
      <c r="B30" s="1738" t="s">
        <v>1159</v>
      </c>
      <c r="C30" s="313" t="s">
        <v>1036</v>
      </c>
      <c r="D30" s="931">
        <f>'3.11 - Presupuesto gastos'!$C$20</f>
        <v>50</v>
      </c>
      <c r="E30" s="938">
        <f>'3.11 - Presupuesto gastos'!$C$20</f>
        <v>50</v>
      </c>
      <c r="F30" s="938">
        <f>'3.11 - Presupuesto gastos'!$C$20</f>
        <v>50</v>
      </c>
      <c r="G30" s="938">
        <f>'3.11 - Presupuesto gastos'!$C$20</f>
        <v>50</v>
      </c>
      <c r="H30" s="938">
        <f>'3.11 - Presupuesto gastos'!$C$20</f>
        <v>50</v>
      </c>
      <c r="I30" s="938">
        <f>'3.11 - Presupuesto gastos'!$C$20</f>
        <v>50</v>
      </c>
      <c r="J30" s="938">
        <f>'3.11 - Presupuesto gastos'!$C$20</f>
        <v>50</v>
      </c>
      <c r="K30" s="938">
        <f>'3.11 - Presupuesto gastos'!$C$20</f>
        <v>50</v>
      </c>
      <c r="L30" s="938">
        <f>'3.11 - Presupuesto gastos'!$C$20</f>
        <v>50</v>
      </c>
      <c r="M30" s="938">
        <f>'3.11 - Presupuesto gastos'!$C$20</f>
        <v>50</v>
      </c>
      <c r="N30" s="938">
        <f>'3.11 - Presupuesto gastos'!$C$20</f>
        <v>50</v>
      </c>
      <c r="O30" s="939">
        <f>'3.11 - Presupuesto gastos'!$C$20</f>
        <v>50</v>
      </c>
      <c r="P30" s="932">
        <f t="shared" si="0"/>
        <v>600</v>
      </c>
      <c r="Q30" s="931">
        <f>'3.11 - Presupuesto gastos'!$E$20</f>
        <v>60</v>
      </c>
      <c r="R30" s="938">
        <f>'3.11 - Presupuesto gastos'!$E$20</f>
        <v>60</v>
      </c>
      <c r="S30" s="938">
        <f>'3.11 - Presupuesto gastos'!$E$20</f>
        <v>60</v>
      </c>
      <c r="T30" s="938">
        <f>'3.11 - Presupuesto gastos'!$E$20</f>
        <v>60</v>
      </c>
      <c r="U30" s="938">
        <f>'3.11 - Presupuesto gastos'!$E$20</f>
        <v>60</v>
      </c>
      <c r="V30" s="938">
        <f>'3.11 - Presupuesto gastos'!$E$20</f>
        <v>60</v>
      </c>
      <c r="W30" s="938">
        <f>'3.11 - Presupuesto gastos'!$E$20</f>
        <v>60</v>
      </c>
      <c r="X30" s="938">
        <f>'3.11 - Presupuesto gastos'!$E$20</f>
        <v>60</v>
      </c>
      <c r="Y30" s="938">
        <f>'3.11 - Presupuesto gastos'!$E$20</f>
        <v>60</v>
      </c>
      <c r="Z30" s="938">
        <f>'3.11 - Presupuesto gastos'!$E$20</f>
        <v>60</v>
      </c>
      <c r="AA30" s="938">
        <f>'3.11 - Presupuesto gastos'!$E$20</f>
        <v>60</v>
      </c>
      <c r="AB30" s="939">
        <f>'3.11 - Presupuesto gastos'!$E$20</f>
        <v>60</v>
      </c>
      <c r="AC30" s="932">
        <f t="shared" si="1"/>
        <v>720</v>
      </c>
      <c r="AD30" s="933">
        <f>'3.11 - Presupuesto gastos'!$G$20</f>
        <v>84</v>
      </c>
      <c r="AE30" s="969">
        <f>'3.11 - Presupuesto gastos'!$G$20</f>
        <v>84</v>
      </c>
      <c r="AF30" s="969">
        <f>'3.11 - Presupuesto gastos'!$G$20</f>
        <v>84</v>
      </c>
      <c r="AG30" s="969">
        <f>'3.11 - Presupuesto gastos'!$G$20</f>
        <v>84</v>
      </c>
      <c r="AH30" s="969">
        <f>'3.11 - Presupuesto gastos'!$G$20</f>
        <v>84</v>
      </c>
      <c r="AI30" s="969">
        <f>'3.11 - Presupuesto gastos'!$G$20</f>
        <v>84</v>
      </c>
      <c r="AJ30" s="969">
        <f>'3.11 - Presupuesto gastos'!$G$20</f>
        <v>84</v>
      </c>
      <c r="AK30" s="969">
        <f>'3.11 - Presupuesto gastos'!$G$20</f>
        <v>84</v>
      </c>
      <c r="AL30" s="969">
        <f>'3.11 - Presupuesto gastos'!$G$20</f>
        <v>84</v>
      </c>
      <c r="AM30" s="969">
        <f>'3.11 - Presupuesto gastos'!$G$20</f>
        <v>84</v>
      </c>
      <c r="AN30" s="969">
        <f>'3.11 - Presupuesto gastos'!$G$20</f>
        <v>84</v>
      </c>
      <c r="AO30" s="974">
        <f>'3.11 - Presupuesto gastos'!$G$20</f>
        <v>84</v>
      </c>
      <c r="AP30" s="932">
        <f t="shared" si="2"/>
        <v>1008</v>
      </c>
      <c r="AQ30" s="931">
        <f>'3.11 - Presupuesto gastos'!$I$20</f>
        <v>92</v>
      </c>
      <c r="AR30" s="938">
        <f>'3.11 - Presupuesto gastos'!$I$20</f>
        <v>92</v>
      </c>
      <c r="AS30" s="938">
        <f>'3.11 - Presupuesto gastos'!$I$20</f>
        <v>92</v>
      </c>
      <c r="AT30" s="938">
        <f>'3.11 - Presupuesto gastos'!$I$20</f>
        <v>92</v>
      </c>
      <c r="AU30" s="938">
        <f>'3.11 - Presupuesto gastos'!$I$20</f>
        <v>92</v>
      </c>
      <c r="AV30" s="938">
        <f>'3.11 - Presupuesto gastos'!$I$20</f>
        <v>92</v>
      </c>
      <c r="AW30" s="938">
        <f>'3.11 - Presupuesto gastos'!$I$20</f>
        <v>92</v>
      </c>
      <c r="AX30" s="938">
        <f>'3.11 - Presupuesto gastos'!$I$20</f>
        <v>92</v>
      </c>
      <c r="AY30" s="938">
        <f>'3.11 - Presupuesto gastos'!$I$20</f>
        <v>92</v>
      </c>
      <c r="AZ30" s="938">
        <f>'3.11 - Presupuesto gastos'!$I$20</f>
        <v>92</v>
      </c>
      <c r="BA30" s="938">
        <f>'3.11 - Presupuesto gastos'!$I$20</f>
        <v>92</v>
      </c>
      <c r="BB30" s="939">
        <f>'3.11 - Presupuesto gastos'!$I$20</f>
        <v>92</v>
      </c>
      <c r="BC30" s="932">
        <f t="shared" si="3"/>
        <v>1104</v>
      </c>
      <c r="BD30" s="931">
        <f>'3.11 - Presupuesto gastos'!$K$20</f>
        <v>104</v>
      </c>
      <c r="BE30" s="938">
        <f>'3.11 - Presupuesto gastos'!$K$20</f>
        <v>104</v>
      </c>
      <c r="BF30" s="938">
        <f>'3.11 - Presupuesto gastos'!$K$20</f>
        <v>104</v>
      </c>
      <c r="BG30" s="938">
        <f>'3.11 - Presupuesto gastos'!$K$20</f>
        <v>104</v>
      </c>
      <c r="BH30" s="938">
        <f>'3.11 - Presupuesto gastos'!$K$20</f>
        <v>104</v>
      </c>
      <c r="BI30" s="938">
        <f>'3.11 - Presupuesto gastos'!$K$20</f>
        <v>104</v>
      </c>
      <c r="BJ30" s="938">
        <f>'3.11 - Presupuesto gastos'!$K$20</f>
        <v>104</v>
      </c>
      <c r="BK30" s="938">
        <f>'3.11 - Presupuesto gastos'!$K$20</f>
        <v>104</v>
      </c>
      <c r="BL30" s="938">
        <f>'3.11 - Presupuesto gastos'!$K$20</f>
        <v>104</v>
      </c>
      <c r="BM30" s="938">
        <f>'3.11 - Presupuesto gastos'!$K$20</f>
        <v>104</v>
      </c>
      <c r="BN30" s="938">
        <f>'3.11 - Presupuesto gastos'!$K$20</f>
        <v>104</v>
      </c>
      <c r="BO30" s="939">
        <f>'3.11 - Presupuesto gastos'!$K$20</f>
        <v>104</v>
      </c>
      <c r="BP30" s="932">
        <f t="shared" si="5"/>
        <v>1248</v>
      </c>
    </row>
    <row r="31" spans="2:68">
      <c r="B31" s="1738"/>
      <c r="C31" s="274" t="s">
        <v>218</v>
      </c>
      <c r="D31" s="941">
        <f>'3.11 - Presupuesto gastos'!$C$21</f>
        <v>847.88029925187038</v>
      </c>
      <c r="E31" s="929">
        <f>'3.11 - Presupuesto gastos'!$C$21</f>
        <v>847.88029925187038</v>
      </c>
      <c r="F31" s="929">
        <f>'3.11 - Presupuesto gastos'!$C$21</f>
        <v>847.88029925187038</v>
      </c>
      <c r="G31" s="929">
        <f>'3.11 - Presupuesto gastos'!$C$21</f>
        <v>847.88029925187038</v>
      </c>
      <c r="H31" s="929">
        <f>'3.11 - Presupuesto gastos'!$C$21</f>
        <v>847.88029925187038</v>
      </c>
      <c r="I31" s="929">
        <f>'3.11 - Presupuesto gastos'!$C$21</f>
        <v>847.88029925187038</v>
      </c>
      <c r="J31" s="929">
        <f>'3.11 - Presupuesto gastos'!$C$21</f>
        <v>847.88029925187038</v>
      </c>
      <c r="K31" s="929">
        <f>'3.11 - Presupuesto gastos'!$C$21</f>
        <v>847.88029925187038</v>
      </c>
      <c r="L31" s="929">
        <f>'3.11 - Presupuesto gastos'!$C$21</f>
        <v>847.88029925187038</v>
      </c>
      <c r="M31" s="929">
        <f>'3.11 - Presupuesto gastos'!$C$21</f>
        <v>847.88029925187038</v>
      </c>
      <c r="N31" s="929">
        <f>'3.11 - Presupuesto gastos'!$C$21</f>
        <v>847.88029925187038</v>
      </c>
      <c r="O31" s="942">
        <f>'3.11 - Presupuesto gastos'!$C$21</f>
        <v>847.88029925187038</v>
      </c>
      <c r="P31" s="943">
        <f t="shared" si="0"/>
        <v>10174.563591022445</v>
      </c>
      <c r="Q31" s="941">
        <f>'3.11 - Presupuesto gastos'!$E$21</f>
        <v>1386.4538653366583</v>
      </c>
      <c r="R31" s="929">
        <f>'3.11 - Presupuesto gastos'!$E$21</f>
        <v>1386.4538653366583</v>
      </c>
      <c r="S31" s="929">
        <f>'3.11 - Presupuesto gastos'!$E$21</f>
        <v>1386.4538653366583</v>
      </c>
      <c r="T31" s="929">
        <f>'3.11 - Presupuesto gastos'!$E$21</f>
        <v>1386.4538653366583</v>
      </c>
      <c r="U31" s="929">
        <f>'3.11 - Presupuesto gastos'!$E$21</f>
        <v>1386.4538653366583</v>
      </c>
      <c r="V31" s="929">
        <f>'3.11 - Presupuesto gastos'!$E$21</f>
        <v>1386.4538653366583</v>
      </c>
      <c r="W31" s="929">
        <f>'3.11 - Presupuesto gastos'!$E$21</f>
        <v>1386.4538653366583</v>
      </c>
      <c r="X31" s="929">
        <f>'3.11 - Presupuesto gastos'!$E$21</f>
        <v>1386.4538653366583</v>
      </c>
      <c r="Y31" s="929">
        <f>'3.11 - Presupuesto gastos'!$E$21</f>
        <v>1386.4538653366583</v>
      </c>
      <c r="Z31" s="929">
        <f>'3.11 - Presupuesto gastos'!$E$21</f>
        <v>1386.4538653366583</v>
      </c>
      <c r="AA31" s="929">
        <f>'3.11 - Presupuesto gastos'!$E$21</f>
        <v>1386.4538653366583</v>
      </c>
      <c r="AB31" s="942">
        <f>'3.11 - Presupuesto gastos'!$E$21</f>
        <v>1386.4538653366583</v>
      </c>
      <c r="AC31" s="943">
        <f t="shared" si="1"/>
        <v>16637.4463840399</v>
      </c>
      <c r="AD31" s="921">
        <f>'3.11 - Presupuesto gastos'!$G$21</f>
        <v>2125.4337755610973</v>
      </c>
      <c r="AE31" s="968">
        <f>'3.11 - Presupuesto gastos'!$G$21</f>
        <v>2125.4337755610973</v>
      </c>
      <c r="AF31" s="968">
        <f>'3.11 - Presupuesto gastos'!$G$21</f>
        <v>2125.4337755610973</v>
      </c>
      <c r="AG31" s="968">
        <f>'3.11 - Presupuesto gastos'!$G$21</f>
        <v>2125.4337755610973</v>
      </c>
      <c r="AH31" s="968">
        <f>'3.11 - Presupuesto gastos'!$G$21</f>
        <v>2125.4337755610973</v>
      </c>
      <c r="AI31" s="968">
        <f>'3.11 - Presupuesto gastos'!$G$21</f>
        <v>2125.4337755610973</v>
      </c>
      <c r="AJ31" s="968">
        <f>'3.11 - Presupuesto gastos'!$G$21</f>
        <v>2125.4337755610973</v>
      </c>
      <c r="AK31" s="968">
        <f>'3.11 - Presupuesto gastos'!$G$21</f>
        <v>2125.4337755610973</v>
      </c>
      <c r="AL31" s="968">
        <f>'3.11 - Presupuesto gastos'!$G$21</f>
        <v>2125.4337755610973</v>
      </c>
      <c r="AM31" s="968">
        <f>'3.11 - Presupuesto gastos'!$G$21</f>
        <v>2125.4337755610973</v>
      </c>
      <c r="AN31" s="968">
        <f>'3.11 - Presupuesto gastos'!$G$21</f>
        <v>2125.4337755610973</v>
      </c>
      <c r="AO31" s="975">
        <f>'3.11 - Presupuesto gastos'!$G$21</f>
        <v>2125.4337755610973</v>
      </c>
      <c r="AP31" s="943">
        <f t="shared" si="2"/>
        <v>25505.205306733169</v>
      </c>
      <c r="AQ31" s="941">
        <f>'3.11 - Presupuesto gastos'!$I$21</f>
        <v>2353.2094285087278</v>
      </c>
      <c r="AR31" s="929">
        <f>'3.11 - Presupuesto gastos'!$I$21</f>
        <v>2353.2094285087278</v>
      </c>
      <c r="AS31" s="929">
        <f>'3.11 - Presupuesto gastos'!$I$21</f>
        <v>2353.2094285087278</v>
      </c>
      <c r="AT31" s="929">
        <f>'3.11 - Presupuesto gastos'!$I$21</f>
        <v>2353.2094285087278</v>
      </c>
      <c r="AU31" s="929">
        <f>'3.11 - Presupuesto gastos'!$I$21</f>
        <v>2353.2094285087278</v>
      </c>
      <c r="AV31" s="929">
        <f>'3.11 - Presupuesto gastos'!$I$21</f>
        <v>2353.2094285087278</v>
      </c>
      <c r="AW31" s="929">
        <f>'3.11 - Presupuesto gastos'!$I$21</f>
        <v>2353.2094285087278</v>
      </c>
      <c r="AX31" s="929">
        <f>'3.11 - Presupuesto gastos'!$I$21</f>
        <v>2353.2094285087278</v>
      </c>
      <c r="AY31" s="929">
        <f>'3.11 - Presupuesto gastos'!$I$21</f>
        <v>2353.2094285087278</v>
      </c>
      <c r="AZ31" s="929">
        <f>'3.11 - Presupuesto gastos'!$I$21</f>
        <v>2353.2094285087278</v>
      </c>
      <c r="BA31" s="929">
        <f>'3.11 - Presupuesto gastos'!$I$21</f>
        <v>2353.2094285087278</v>
      </c>
      <c r="BB31" s="942">
        <f>'3.11 - Presupuesto gastos'!$I$21</f>
        <v>2353.2094285087278</v>
      </c>
      <c r="BC31" s="943">
        <f t="shared" si="3"/>
        <v>28238.513142104741</v>
      </c>
      <c r="BD31" s="941">
        <f>'3.11 - Presupuesto gastos'!$K$21</f>
        <v>3144.9738931469728</v>
      </c>
      <c r="BE31" s="929">
        <f>'3.11 - Presupuesto gastos'!$K$21</f>
        <v>3144.9738931469728</v>
      </c>
      <c r="BF31" s="929">
        <f>'3.11 - Presupuesto gastos'!$K$21</f>
        <v>3144.9738931469728</v>
      </c>
      <c r="BG31" s="929">
        <f>'3.11 - Presupuesto gastos'!$K$21</f>
        <v>3144.9738931469728</v>
      </c>
      <c r="BH31" s="929">
        <f>'3.11 - Presupuesto gastos'!$K$21</f>
        <v>3144.9738931469728</v>
      </c>
      <c r="BI31" s="929">
        <f>'3.11 - Presupuesto gastos'!$K$21</f>
        <v>3144.9738931469728</v>
      </c>
      <c r="BJ31" s="929">
        <f>'3.11 - Presupuesto gastos'!$K$21</f>
        <v>3144.9738931469728</v>
      </c>
      <c r="BK31" s="929">
        <f>'3.11 - Presupuesto gastos'!$K$21</f>
        <v>3144.9738931469728</v>
      </c>
      <c r="BL31" s="929">
        <f>'3.11 - Presupuesto gastos'!$K$21</f>
        <v>3144.9738931469728</v>
      </c>
      <c r="BM31" s="929">
        <f>'3.11 - Presupuesto gastos'!$K$21</f>
        <v>3144.9738931469728</v>
      </c>
      <c r="BN31" s="929">
        <f>'3.11 - Presupuesto gastos'!$K$21</f>
        <v>3144.9738931469728</v>
      </c>
      <c r="BO31" s="942">
        <f>'3.11 - Presupuesto gastos'!$K$21</f>
        <v>3144.9738931469728</v>
      </c>
      <c r="BP31" s="943">
        <f t="shared" si="5"/>
        <v>37739.686717763674</v>
      </c>
    </row>
    <row r="32" spans="2:68">
      <c r="B32" s="1738"/>
      <c r="C32" s="274" t="s">
        <v>1160</v>
      </c>
      <c r="D32" s="941">
        <f>'3.11 - Presupuesto gastos'!$C$22</f>
        <v>500</v>
      </c>
      <c r="E32" s="929">
        <f>'3.11 - Presupuesto gastos'!$C$22</f>
        <v>500</v>
      </c>
      <c r="F32" s="929">
        <f>'3.11 - Presupuesto gastos'!$C$22</f>
        <v>500</v>
      </c>
      <c r="G32" s="929">
        <f>'3.11 - Presupuesto gastos'!$C$22</f>
        <v>500</v>
      </c>
      <c r="H32" s="929">
        <f>'3.11 - Presupuesto gastos'!$C$22</f>
        <v>500</v>
      </c>
      <c r="I32" s="929">
        <f>'3.11 - Presupuesto gastos'!$C$22</f>
        <v>500</v>
      </c>
      <c r="J32" s="929">
        <f>'3.11 - Presupuesto gastos'!$C$22</f>
        <v>500</v>
      </c>
      <c r="K32" s="929">
        <f>'3.11 - Presupuesto gastos'!$C$22</f>
        <v>500</v>
      </c>
      <c r="L32" s="929">
        <f>'3.11 - Presupuesto gastos'!$C$22</f>
        <v>500</v>
      </c>
      <c r="M32" s="929">
        <f>'3.11 - Presupuesto gastos'!$C$22</f>
        <v>500</v>
      </c>
      <c r="N32" s="929">
        <f>'3.11 - Presupuesto gastos'!$C$22</f>
        <v>500</v>
      </c>
      <c r="O32" s="942">
        <f>'3.11 - Presupuesto gastos'!$C$22</f>
        <v>500</v>
      </c>
      <c r="P32" s="943">
        <f t="shared" si="0"/>
        <v>6000</v>
      </c>
      <c r="Q32" s="941">
        <f>'3.11 - Presupuesto gastos'!$E$22</f>
        <v>700</v>
      </c>
      <c r="R32" s="929">
        <f>'3.11 - Presupuesto gastos'!$E$22</f>
        <v>700</v>
      </c>
      <c r="S32" s="929">
        <f>'3.11 - Presupuesto gastos'!$E$22</f>
        <v>700</v>
      </c>
      <c r="T32" s="929">
        <f>'3.11 - Presupuesto gastos'!$E$22</f>
        <v>700</v>
      </c>
      <c r="U32" s="929">
        <f>'3.11 - Presupuesto gastos'!$E$22</f>
        <v>700</v>
      </c>
      <c r="V32" s="929">
        <f>'3.11 - Presupuesto gastos'!$E$22</f>
        <v>700</v>
      </c>
      <c r="W32" s="929">
        <f>'3.11 - Presupuesto gastos'!$E$22</f>
        <v>700</v>
      </c>
      <c r="X32" s="929">
        <f>'3.11 - Presupuesto gastos'!$E$22</f>
        <v>700</v>
      </c>
      <c r="Y32" s="929">
        <f>'3.11 - Presupuesto gastos'!$E$22</f>
        <v>700</v>
      </c>
      <c r="Z32" s="929">
        <f>'3.11 - Presupuesto gastos'!$E$22</f>
        <v>700</v>
      </c>
      <c r="AA32" s="929">
        <f>'3.11 - Presupuesto gastos'!$E$22</f>
        <v>700</v>
      </c>
      <c r="AB32" s="942">
        <f>'3.11 - Presupuesto gastos'!$E$22</f>
        <v>700</v>
      </c>
      <c r="AC32" s="943">
        <f t="shared" si="1"/>
        <v>8400</v>
      </c>
      <c r="AD32" s="921">
        <f>'3.11 - Presupuesto gastos'!$G$22</f>
        <v>900</v>
      </c>
      <c r="AE32" s="968">
        <f>'3.11 - Presupuesto gastos'!$G$22</f>
        <v>900</v>
      </c>
      <c r="AF32" s="968">
        <f>'3.11 - Presupuesto gastos'!$G$22</f>
        <v>900</v>
      </c>
      <c r="AG32" s="968">
        <f>'3.11 - Presupuesto gastos'!$G$22</f>
        <v>900</v>
      </c>
      <c r="AH32" s="968">
        <f>'3.11 - Presupuesto gastos'!$G$22</f>
        <v>900</v>
      </c>
      <c r="AI32" s="968">
        <f>'3.11 - Presupuesto gastos'!$G$22</f>
        <v>900</v>
      </c>
      <c r="AJ32" s="968">
        <f>'3.11 - Presupuesto gastos'!$G$22</f>
        <v>900</v>
      </c>
      <c r="AK32" s="968">
        <f>'3.11 - Presupuesto gastos'!$G$22</f>
        <v>900</v>
      </c>
      <c r="AL32" s="968">
        <f>'3.11 - Presupuesto gastos'!$G$22</f>
        <v>900</v>
      </c>
      <c r="AM32" s="968">
        <f>'3.11 - Presupuesto gastos'!$G$22</f>
        <v>900</v>
      </c>
      <c r="AN32" s="968">
        <f>'3.11 - Presupuesto gastos'!$G$22</f>
        <v>900</v>
      </c>
      <c r="AO32" s="975">
        <f>'3.11 - Presupuesto gastos'!$G$22</f>
        <v>900</v>
      </c>
      <c r="AP32" s="943">
        <f t="shared" si="2"/>
        <v>10800</v>
      </c>
      <c r="AQ32" s="941">
        <f>'3.11 - Presupuesto gastos'!$I$22</f>
        <v>1200</v>
      </c>
      <c r="AR32" s="929">
        <f>'3.11 - Presupuesto gastos'!$I$22</f>
        <v>1200</v>
      </c>
      <c r="AS32" s="929">
        <f>'3.11 - Presupuesto gastos'!$I$22</f>
        <v>1200</v>
      </c>
      <c r="AT32" s="929">
        <f>'3.11 - Presupuesto gastos'!$I$22</f>
        <v>1200</v>
      </c>
      <c r="AU32" s="929">
        <f>'3.11 - Presupuesto gastos'!$I$22</f>
        <v>1200</v>
      </c>
      <c r="AV32" s="929">
        <f>'3.11 - Presupuesto gastos'!$I$22</f>
        <v>1200</v>
      </c>
      <c r="AW32" s="929">
        <f>'3.11 - Presupuesto gastos'!$I$22</f>
        <v>1200</v>
      </c>
      <c r="AX32" s="929">
        <f>'3.11 - Presupuesto gastos'!$I$22</f>
        <v>1200</v>
      </c>
      <c r="AY32" s="929">
        <f>'3.11 - Presupuesto gastos'!$I$22</f>
        <v>1200</v>
      </c>
      <c r="AZ32" s="929">
        <f>'3.11 - Presupuesto gastos'!$I$22</f>
        <v>1200</v>
      </c>
      <c r="BA32" s="929">
        <f>'3.11 - Presupuesto gastos'!$I$22</f>
        <v>1200</v>
      </c>
      <c r="BB32" s="942">
        <f>'3.11 - Presupuesto gastos'!$I$22</f>
        <v>1200</v>
      </c>
      <c r="BC32" s="943">
        <f t="shared" si="3"/>
        <v>14400</v>
      </c>
      <c r="BD32" s="941">
        <f>'3.11 - Presupuesto gastos'!$K$22</f>
        <v>1300</v>
      </c>
      <c r="BE32" s="929">
        <f>'3.11 - Presupuesto gastos'!$K$22</f>
        <v>1300</v>
      </c>
      <c r="BF32" s="929">
        <f>'3.11 - Presupuesto gastos'!$K$22</f>
        <v>1300</v>
      </c>
      <c r="BG32" s="929">
        <f>'3.11 - Presupuesto gastos'!$K$22</f>
        <v>1300</v>
      </c>
      <c r="BH32" s="929">
        <f>'3.11 - Presupuesto gastos'!$K$22</f>
        <v>1300</v>
      </c>
      <c r="BI32" s="929">
        <f>'3.11 - Presupuesto gastos'!$K$22</f>
        <v>1300</v>
      </c>
      <c r="BJ32" s="929">
        <f>'3.11 - Presupuesto gastos'!$K$22</f>
        <v>1300</v>
      </c>
      <c r="BK32" s="929">
        <f>'3.11 - Presupuesto gastos'!$K$22</f>
        <v>1300</v>
      </c>
      <c r="BL32" s="929">
        <f>'3.11 - Presupuesto gastos'!$K$22</f>
        <v>1300</v>
      </c>
      <c r="BM32" s="929">
        <f>'3.11 - Presupuesto gastos'!$K$22</f>
        <v>1300</v>
      </c>
      <c r="BN32" s="929">
        <f>'3.11 - Presupuesto gastos'!$K$22</f>
        <v>1300</v>
      </c>
      <c r="BO32" s="942">
        <f>'3.11 - Presupuesto gastos'!$K$22</f>
        <v>1300</v>
      </c>
      <c r="BP32" s="943">
        <f t="shared" si="5"/>
        <v>15600</v>
      </c>
    </row>
    <row r="33" spans="2:68">
      <c r="B33" s="1738"/>
      <c r="C33" s="274" t="s">
        <v>1039</v>
      </c>
      <c r="D33" s="941">
        <f>D8*'3.11 - Presupuesto gastos'!$D$137*'3.11 - Presupuesto gastos'!$E$137</f>
        <v>0</v>
      </c>
      <c r="E33" s="929">
        <f>E8*'3.11 - Presupuesto gastos'!$D$137*'3.11 - Presupuesto gastos'!$E$137</f>
        <v>0</v>
      </c>
      <c r="F33" s="929">
        <f>F8*'3.11 - Presupuesto gastos'!$D$137*'3.11 - Presupuesto gastos'!$E$137</f>
        <v>235.99772891198151</v>
      </c>
      <c r="G33" s="929">
        <f>G8*'3.11 - Presupuesto gastos'!$D$137*'3.11 - Presupuesto gastos'!$E$137</f>
        <v>336.65360625728846</v>
      </c>
      <c r="H33" s="929">
        <f>H8*'3.11 - Presupuesto gastos'!$D$137*'3.11 - Presupuesto gastos'!$E$137</f>
        <v>582.99650805342935</v>
      </c>
      <c r="I33" s="929">
        <f>I8*'3.11 - Presupuesto gastos'!$D$137*'3.11 - Presupuesto gastos'!$E$137</f>
        <v>1039.4421820262612</v>
      </c>
      <c r="J33" s="929">
        <f>J8*'3.11 - Presupuesto gastos'!$D$137*'3.11 - Presupuesto gastos'!$E$137</f>
        <v>1420.5377306095752</v>
      </c>
      <c r="K33" s="929">
        <f>K8*'3.11 - Presupuesto gastos'!$D$137*'3.11 - Presupuesto gastos'!$E$137</f>
        <v>2001.8908493929205</v>
      </c>
      <c r="L33" s="929">
        <f>L8*'3.11 - Presupuesto gastos'!$D$137*'3.11 - Presupuesto gastos'!$E$137</f>
        <v>2040.5326232871228</v>
      </c>
      <c r="M33" s="929">
        <f>M8*'3.11 - Presupuesto gastos'!$D$137*'3.11 - Presupuesto gastos'!$E$137</f>
        <v>2209.4350795710602</v>
      </c>
      <c r="N33" s="929">
        <f>N8*'3.11 - Presupuesto gastos'!$D$137*'3.11 - Presupuesto gastos'!$E$137</f>
        <v>2564.0313323121818</v>
      </c>
      <c r="O33" s="942">
        <f>O8*'3.11 - Presupuesto gastos'!$D$137*'3.11 - Presupuesto gastos'!$E$137</f>
        <v>2208.3025599642851</v>
      </c>
      <c r="P33" s="943">
        <f t="shared" si="0"/>
        <v>14639.820200386108</v>
      </c>
      <c r="Q33" s="941">
        <f>Q8*'3.11 - Presupuesto gastos'!$D$138*'3.11 - Presupuesto gastos'!$E$138</f>
        <v>1351.1820418452855</v>
      </c>
      <c r="R33" s="929">
        <f>R8*'3.11 - Presupuesto gastos'!$D$138*'3.11 - Presupuesto gastos'!$E$138</f>
        <v>1349.0266445500595</v>
      </c>
      <c r="S33" s="929">
        <f>S8*'3.11 - Presupuesto gastos'!$D$138*'3.11 - Presupuesto gastos'!$E$138</f>
        <v>1589.3046291090945</v>
      </c>
      <c r="T33" s="929">
        <f>T8*'3.11 - Presupuesto gastos'!$D$138*'3.11 - Presupuesto gastos'!$E$138</f>
        <v>1511.0691758459568</v>
      </c>
      <c r="U33" s="929">
        <f>U8*'3.11 - Presupuesto gastos'!$D$138*'3.11 - Presupuesto gastos'!$E$138</f>
        <v>1569.6840762741888</v>
      </c>
      <c r="V33" s="929">
        <f>V8*'3.11 - Presupuesto gastos'!$D$138*'3.11 - Presupuesto gastos'!$E$138</f>
        <v>1748.7252347750782</v>
      </c>
      <c r="W33" s="929">
        <f>W8*'3.11 - Presupuesto gastos'!$D$138*'3.11 - Presupuesto gastos'!$E$138</f>
        <v>1737.6694925231654</v>
      </c>
      <c r="X33" s="929">
        <f>X8*'3.11 - Presupuesto gastos'!$D$138*'3.11 - Presupuesto gastos'!$E$138</f>
        <v>1923.6064886036115</v>
      </c>
      <c r="Y33" s="929">
        <f>Y8*'3.11 - Presupuesto gastos'!$D$138*'3.11 - Presupuesto gastos'!$E$138</f>
        <v>1829.5903346540258</v>
      </c>
      <c r="Z33" s="929">
        <f>Z8*'3.11 - Presupuesto gastos'!$D$138*'3.11 - Presupuesto gastos'!$E$138</f>
        <v>1747.5616180689558</v>
      </c>
      <c r="AA33" s="929">
        <f>AA8*'3.11 - Presupuesto gastos'!$D$138*'3.11 - Presupuesto gastos'!$E$138</f>
        <v>1814.1341135118541</v>
      </c>
      <c r="AB33" s="942">
        <f>AB8*'3.11 - Presupuesto gastos'!$D$138*'3.11 - Presupuesto gastos'!$E$138</f>
        <v>1483.9819196126989</v>
      </c>
      <c r="AC33" s="943">
        <f t="shared" si="1"/>
        <v>19655.535769373975</v>
      </c>
      <c r="AD33" s="921">
        <f>AD8*'3.11 - Presupuesto gastos'!$D$139*'3.11 - Presupuesto gastos'!$E$139</f>
        <v>1512.9824143899407</v>
      </c>
      <c r="AE33" s="968">
        <f>AE8*'3.11 - Presupuesto gastos'!$D$139*'3.11 - Presupuesto gastos'!$E$139</f>
        <v>1510.2283899945121</v>
      </c>
      <c r="AF33" s="968">
        <f>AF8*'3.11 - Presupuesto gastos'!$D$139*'3.11 - Presupuesto gastos'!$E$139</f>
        <v>1778.8207279826893</v>
      </c>
      <c r="AG33" s="968">
        <f>AG8*'3.11 - Presupuesto gastos'!$D$139*'3.11 - Presupuesto gastos'!$E$139</f>
        <v>1690.8813848913985</v>
      </c>
      <c r="AH33" s="968">
        <f>AH8*'3.11 - Presupuesto gastos'!$D$139*'3.11 - Presupuesto gastos'!$E$139</f>
        <v>1756.0854086974819</v>
      </c>
      <c r="AI33" s="968">
        <f>AI8*'3.11 - Presupuesto gastos'!$D$139*'3.11 - Presupuesto gastos'!$E$139</f>
        <v>1955.961741884689</v>
      </c>
      <c r="AJ33" s="968">
        <f>AJ8*'3.11 - Presupuesto gastos'!$D$139*'3.11 - Presupuesto gastos'!$E$139</f>
        <v>1943.1760693834103</v>
      </c>
      <c r="AK33" s="968">
        <f>AK8*'3.11 - Presupuesto gastos'!$D$139*'3.11 - Presupuesto gastos'!$E$139</f>
        <v>2150.6423798156707</v>
      </c>
      <c r="AL33" s="968">
        <f>AL8*'3.11 - Presupuesto gastos'!$D$139*'3.11 - Presupuesto gastos'!$E$139</f>
        <v>2045.0955045909886</v>
      </c>
      <c r="AM33" s="968">
        <f>AM8*'3.11 - Presupuesto gastos'!$D$139*'3.11 - Presupuesto gastos'!$E$139</f>
        <v>1952.9934029913004</v>
      </c>
      <c r="AN33" s="968">
        <f>AN8*'3.11 - Presupuesto gastos'!$D$139*'3.11 - Presupuesto gastos'!$E$139</f>
        <v>2026.9683720084224</v>
      </c>
      <c r="AO33" s="975">
        <f>AO8*'3.11 - Presupuesto gastos'!$D$139*'3.11 - Presupuesto gastos'!$E$139</f>
        <v>1657.7393544174449</v>
      </c>
      <c r="AP33" s="943">
        <f t="shared" si="2"/>
        <v>21981.575151047949</v>
      </c>
      <c r="AQ33" s="941">
        <f>AQ8*'3.11 - Presupuesto gastos'!$D$140*'3.11 - Presupuesto gastos'!$E$140</f>
        <v>1126.5255804514532</v>
      </c>
      <c r="AR33" s="929">
        <f>AR8*'3.11 - Presupuesto gastos'!$D$140*'3.11 - Presupuesto gastos'!$E$140</f>
        <v>1124.2459720338138</v>
      </c>
      <c r="AS33" s="929">
        <f>AS8*'3.11 - Presupuesto gastos'!$D$140*'3.11 - Presupuesto gastos'!$E$140</f>
        <v>1323.9242858517985</v>
      </c>
      <c r="AT33" s="929">
        <f>AT8*'3.11 - Presupuesto gastos'!$D$140*'3.11 - Presupuesto gastos'!$E$140</f>
        <v>1258.22144626267</v>
      </c>
      <c r="AU33" s="929">
        <f>AU8*'3.11 - Presupuesto gastos'!$D$140*'3.11 - Presupuesto gastos'!$E$140</f>
        <v>1306.4814717382528</v>
      </c>
      <c r="AV33" s="929">
        <f>AV8*'3.11 - Presupuesto gastos'!$D$140*'3.11 - Presupuesto gastos'!$E$140</f>
        <v>1454.8973581436576</v>
      </c>
      <c r="AW33" s="929">
        <f>AW8*'3.11 - Presupuesto gastos'!$D$140*'3.11 - Presupuesto gastos'!$E$140</f>
        <v>1445.1043944493742</v>
      </c>
      <c r="AX33" s="929">
        <f>AX8*'3.11 - Presupuesto gastos'!$D$140*'3.11 - Presupuesto gastos'!$E$140</f>
        <v>1599.0830451889765</v>
      </c>
      <c r="AY33" s="929">
        <f>AY8*'3.11 - Presupuesto gastos'!$D$140*'3.11 - Presupuesto gastos'!$E$140</f>
        <v>1520.3123984804936</v>
      </c>
      <c r="AZ33" s="929">
        <f>AZ8*'3.11 - Presupuesto gastos'!$D$140*'3.11 - Presupuesto gastos'!$E$140</f>
        <v>1451.5670767267616</v>
      </c>
      <c r="BA33" s="929">
        <f>BA8*'3.11 - Presupuesto gastos'!$D$140*'3.11 - Presupuesto gastos'!$E$140</f>
        <v>1506.2638480941712</v>
      </c>
      <c r="BB33" s="942">
        <f>BB8*'3.11 - Presupuesto gastos'!$D$140*'3.11 - Presupuesto gastos'!$E$140</f>
        <v>1231.6540109477189</v>
      </c>
      <c r="BC33" s="943">
        <f t="shared" si="3"/>
        <v>16348.280888369143</v>
      </c>
      <c r="BD33" s="941">
        <f>BD8*'3.11 - Presupuesto gastos'!$D$141*'3.11 - Presupuesto gastos'!$E$141</f>
        <v>1569.0393927762896</v>
      </c>
      <c r="BE33" s="929">
        <f>BE8*'3.11 - Presupuesto gastos'!$D$141*'3.11 - Presupuesto gastos'!$E$141</f>
        <v>1565.574733643132</v>
      </c>
      <c r="BF33" s="929">
        <f>BF8*'3.11 - Presupuesto gastos'!$D$141*'3.11 - Presupuesto gastos'!$E$141</f>
        <v>1843.2995356580941</v>
      </c>
      <c r="BG33" s="929">
        <f>BG8*'3.11 - Presupuesto gastos'!$D$141*'3.11 - Presupuesto gastos'!$E$141</f>
        <v>1751.5025317640607</v>
      </c>
      <c r="BH33" s="929">
        <f>BH8*'3.11 - Presupuesto gastos'!$D$141*'3.11 - Presupuesto gastos'!$E$141</f>
        <v>1818.3541617373453</v>
      </c>
      <c r="BI33" s="929">
        <f>BI8*'3.11 - Presupuesto gastos'!$D$141*'3.11 - Presupuesto gastos'!$E$141</f>
        <v>2024.5556294576959</v>
      </c>
      <c r="BJ33" s="929">
        <f>BJ8*'3.11 - Presupuesto gastos'!$D$141*'3.11 - Presupuesto gastos'!$E$141</f>
        <v>2010.57055955753</v>
      </c>
      <c r="BK33" s="929">
        <f>BK8*'3.11 - Presupuesto gastos'!$D$141*'3.11 - Presupuesto gastos'!$E$141</f>
        <v>2224.4079857067763</v>
      </c>
      <c r="BL33" s="929">
        <f>BL8*'3.11 - Presupuesto gastos'!$D$141*'3.11 - Presupuesto gastos'!$E$141</f>
        <v>2114.4634328161851</v>
      </c>
      <c r="BM33" s="929">
        <f>BM8*'3.11 - Presupuesto gastos'!$D$141*'3.11 - Presupuesto gastos'!$E$141</f>
        <v>2018.5008837526746</v>
      </c>
      <c r="BN33" s="929">
        <f>BN8*'3.11 - Presupuesto gastos'!$D$141*'3.11 - Presupuesto gastos'!$E$141</f>
        <v>2094.1990193497791</v>
      </c>
      <c r="BO33" s="942">
        <f>BO8*'3.11 - Presupuesto gastos'!$D$141*'3.11 - Presupuesto gastos'!$E$141</f>
        <v>1712.1083862410503</v>
      </c>
      <c r="BP33" s="943">
        <f t="shared" si="5"/>
        <v>22746.576252460611</v>
      </c>
    </row>
    <row r="34" spans="2:68">
      <c r="B34" s="1738"/>
      <c r="C34" s="274" t="s">
        <v>1038</v>
      </c>
      <c r="D34" s="941">
        <f>'3.11 - Presupuesto gastos'!$C$23</f>
        <v>1000</v>
      </c>
      <c r="E34" s="929">
        <f>'3.11 - Presupuesto gastos'!$C$23</f>
        <v>1000</v>
      </c>
      <c r="F34" s="929">
        <f>'3.11 - Presupuesto gastos'!$C$23</f>
        <v>1000</v>
      </c>
      <c r="G34" s="929">
        <f>'3.11 - Presupuesto gastos'!$C$23</f>
        <v>1000</v>
      </c>
      <c r="H34" s="929">
        <f>'3.11 - Presupuesto gastos'!$C$23</f>
        <v>1000</v>
      </c>
      <c r="I34" s="929">
        <f>'3.11 - Presupuesto gastos'!$C$23</f>
        <v>1000</v>
      </c>
      <c r="J34" s="929">
        <f>'3.11 - Presupuesto gastos'!$C$23</f>
        <v>1000</v>
      </c>
      <c r="K34" s="929">
        <f>'3.11 - Presupuesto gastos'!$C$23</f>
        <v>1000</v>
      </c>
      <c r="L34" s="929">
        <f>'3.11 - Presupuesto gastos'!$C$23</f>
        <v>1000</v>
      </c>
      <c r="M34" s="929">
        <f>'3.11 - Presupuesto gastos'!$C$23</f>
        <v>1000</v>
      </c>
      <c r="N34" s="929">
        <f>'3.11 - Presupuesto gastos'!$C$23</f>
        <v>1000</v>
      </c>
      <c r="O34" s="942">
        <f>'3.11 - Presupuesto gastos'!$C$23</f>
        <v>1000</v>
      </c>
      <c r="P34" s="943">
        <f t="shared" si="0"/>
        <v>12000</v>
      </c>
      <c r="Q34" s="941">
        <f>'3.11 - Presupuesto gastos'!$E$23</f>
        <v>850</v>
      </c>
      <c r="R34" s="929">
        <f>'3.11 - Presupuesto gastos'!$E$23</f>
        <v>850</v>
      </c>
      <c r="S34" s="929">
        <f>'3.11 - Presupuesto gastos'!$E$23</f>
        <v>850</v>
      </c>
      <c r="T34" s="929">
        <f>'3.11 - Presupuesto gastos'!$E$23</f>
        <v>850</v>
      </c>
      <c r="U34" s="929">
        <f>'3.11 - Presupuesto gastos'!$E$23</f>
        <v>850</v>
      </c>
      <c r="V34" s="929">
        <f>'3.11 - Presupuesto gastos'!$E$23</f>
        <v>850</v>
      </c>
      <c r="W34" s="929">
        <f>'3.11 - Presupuesto gastos'!$E$23</f>
        <v>850</v>
      </c>
      <c r="X34" s="929">
        <f>'3.11 - Presupuesto gastos'!$E$23</f>
        <v>850</v>
      </c>
      <c r="Y34" s="929">
        <f>'3.11 - Presupuesto gastos'!$E$23</f>
        <v>850</v>
      </c>
      <c r="Z34" s="929">
        <f>'3.11 - Presupuesto gastos'!$E$23</f>
        <v>850</v>
      </c>
      <c r="AA34" s="929">
        <f>'3.11 - Presupuesto gastos'!$E$23</f>
        <v>850</v>
      </c>
      <c r="AB34" s="942">
        <f>'3.11 - Presupuesto gastos'!$E$23</f>
        <v>850</v>
      </c>
      <c r="AC34" s="943">
        <f t="shared" si="1"/>
        <v>10200</v>
      </c>
      <c r="AD34" s="921">
        <f>'3.11 - Presupuesto gastos'!$G$23</f>
        <v>850</v>
      </c>
      <c r="AE34" s="968">
        <f>'3.11 - Presupuesto gastos'!$G$23</f>
        <v>850</v>
      </c>
      <c r="AF34" s="968">
        <f>'3.11 - Presupuesto gastos'!$G$23</f>
        <v>850</v>
      </c>
      <c r="AG34" s="968">
        <f>'3.11 - Presupuesto gastos'!$G$23</f>
        <v>850</v>
      </c>
      <c r="AH34" s="968">
        <f>'3.11 - Presupuesto gastos'!$G$23</f>
        <v>850</v>
      </c>
      <c r="AI34" s="968">
        <f>'3.11 - Presupuesto gastos'!$G$23</f>
        <v>850</v>
      </c>
      <c r="AJ34" s="968">
        <f>'3.11 - Presupuesto gastos'!$G$23</f>
        <v>850</v>
      </c>
      <c r="AK34" s="968">
        <f>'3.11 - Presupuesto gastos'!$G$23</f>
        <v>850</v>
      </c>
      <c r="AL34" s="968">
        <f>'3.11 - Presupuesto gastos'!$G$23</f>
        <v>850</v>
      </c>
      <c r="AM34" s="968">
        <f>'3.11 - Presupuesto gastos'!$G$23</f>
        <v>850</v>
      </c>
      <c r="AN34" s="968">
        <f>'3.11 - Presupuesto gastos'!$G$23</f>
        <v>850</v>
      </c>
      <c r="AO34" s="975">
        <f>'3.11 - Presupuesto gastos'!$G$23</f>
        <v>850</v>
      </c>
      <c r="AP34" s="943">
        <f t="shared" si="2"/>
        <v>10200</v>
      </c>
      <c r="AQ34" s="941">
        <f>'3.11 - Presupuesto gastos'!$I$23</f>
        <v>750</v>
      </c>
      <c r="AR34" s="929">
        <f>'3.11 - Presupuesto gastos'!$I$23</f>
        <v>750</v>
      </c>
      <c r="AS34" s="929">
        <f>'3.11 - Presupuesto gastos'!$I$23</f>
        <v>750</v>
      </c>
      <c r="AT34" s="929">
        <f>'3.11 - Presupuesto gastos'!$I$23</f>
        <v>750</v>
      </c>
      <c r="AU34" s="929">
        <f>'3.11 - Presupuesto gastos'!$I$23</f>
        <v>750</v>
      </c>
      <c r="AV34" s="929">
        <f>'3.11 - Presupuesto gastos'!$I$23</f>
        <v>750</v>
      </c>
      <c r="AW34" s="929">
        <f>'3.11 - Presupuesto gastos'!$I$23</f>
        <v>750</v>
      </c>
      <c r="AX34" s="929">
        <f>'3.11 - Presupuesto gastos'!$I$23</f>
        <v>750</v>
      </c>
      <c r="AY34" s="929">
        <f>'3.11 - Presupuesto gastos'!$I$23</f>
        <v>750</v>
      </c>
      <c r="AZ34" s="929">
        <f>'3.11 - Presupuesto gastos'!$I$23</f>
        <v>750</v>
      </c>
      <c r="BA34" s="929">
        <f>'3.11 - Presupuesto gastos'!$I$23</f>
        <v>750</v>
      </c>
      <c r="BB34" s="942">
        <f>'3.11 - Presupuesto gastos'!$I$23</f>
        <v>750</v>
      </c>
      <c r="BC34" s="943">
        <f t="shared" si="3"/>
        <v>9000</v>
      </c>
      <c r="BD34" s="941">
        <f>'3.11 - Presupuesto gastos'!$K$23</f>
        <v>750</v>
      </c>
      <c r="BE34" s="929">
        <f>'3.11 - Presupuesto gastos'!$K$23</f>
        <v>750</v>
      </c>
      <c r="BF34" s="929">
        <f>'3.11 - Presupuesto gastos'!$K$23</f>
        <v>750</v>
      </c>
      <c r="BG34" s="929">
        <f>'3.11 - Presupuesto gastos'!$K$23</f>
        <v>750</v>
      </c>
      <c r="BH34" s="929">
        <f>'3.11 - Presupuesto gastos'!$K$23</f>
        <v>750</v>
      </c>
      <c r="BI34" s="929">
        <f>'3.11 - Presupuesto gastos'!$K$23</f>
        <v>750</v>
      </c>
      <c r="BJ34" s="929">
        <f>'3.11 - Presupuesto gastos'!$K$23</f>
        <v>750</v>
      </c>
      <c r="BK34" s="929">
        <f>'3.11 - Presupuesto gastos'!$K$23</f>
        <v>750</v>
      </c>
      <c r="BL34" s="929">
        <f>'3.11 - Presupuesto gastos'!$K$23</f>
        <v>750</v>
      </c>
      <c r="BM34" s="929">
        <f>'3.11 - Presupuesto gastos'!$K$23</f>
        <v>750</v>
      </c>
      <c r="BN34" s="929">
        <f>'3.11 - Presupuesto gastos'!$K$23</f>
        <v>750</v>
      </c>
      <c r="BO34" s="942">
        <f>'3.11 - Presupuesto gastos'!$K$23</f>
        <v>750</v>
      </c>
      <c r="BP34" s="943">
        <f t="shared" si="5"/>
        <v>9000</v>
      </c>
    </row>
    <row r="35" spans="2:68" ht="15" thickBot="1">
      <c r="B35" s="1371"/>
      <c r="C35" s="275" t="s">
        <v>1040</v>
      </c>
      <c r="D35" s="934">
        <f>'3.11 - Presupuesto gastos'!$C$25</f>
        <v>235.99775250482631</v>
      </c>
      <c r="E35" s="919">
        <f>'3.11 - Presupuesto gastos'!$C$25</f>
        <v>235.99775250482631</v>
      </c>
      <c r="F35" s="919">
        <f>'3.11 - Presupuesto gastos'!$C$25</f>
        <v>235.99775250482631</v>
      </c>
      <c r="G35" s="919">
        <f>'3.11 - Presupuesto gastos'!$C$25</f>
        <v>235.99775250482631</v>
      </c>
      <c r="H35" s="919">
        <f>'3.11 - Presupuesto gastos'!$C$25</f>
        <v>235.99775250482631</v>
      </c>
      <c r="I35" s="919">
        <f>'3.11 - Presupuesto gastos'!$C$25</f>
        <v>235.99775250482631</v>
      </c>
      <c r="J35" s="919">
        <f>'3.11 - Presupuesto gastos'!$C$25</f>
        <v>235.99775250482631</v>
      </c>
      <c r="K35" s="919">
        <f>'3.11 - Presupuesto gastos'!$C$25</f>
        <v>235.99775250482631</v>
      </c>
      <c r="L35" s="919">
        <f>'3.11 - Presupuesto gastos'!$C$25</f>
        <v>235.99775250482631</v>
      </c>
      <c r="M35" s="919">
        <f>'3.11 - Presupuesto gastos'!$C$25</f>
        <v>235.99775250482631</v>
      </c>
      <c r="N35" s="919">
        <f>'3.11 - Presupuesto gastos'!$C$25</f>
        <v>235.99775250482631</v>
      </c>
      <c r="O35" s="940">
        <f>'3.11 - Presupuesto gastos'!$C$25</f>
        <v>235.99775250482631</v>
      </c>
      <c r="P35" s="935">
        <f>SUM(D35:O35)</f>
        <v>2831.9730300579154</v>
      </c>
      <c r="Q35" s="934">
        <f>'3.11 - Presupuesto gastos'!$E$25</f>
        <v>873.14665705724894</v>
      </c>
      <c r="R35" s="919">
        <f>'3.11 - Presupuesto gastos'!$E$25</f>
        <v>873.14665705724894</v>
      </c>
      <c r="S35" s="919">
        <f>'3.11 - Presupuesto gastos'!$E$25</f>
        <v>873.14665705724894</v>
      </c>
      <c r="T35" s="919">
        <f>'3.11 - Presupuesto gastos'!$E$25</f>
        <v>873.14665705724894</v>
      </c>
      <c r="U35" s="919">
        <f>'3.11 - Presupuesto gastos'!$E$25</f>
        <v>873.14665705724894</v>
      </c>
      <c r="V35" s="919">
        <f>'3.11 - Presupuesto gastos'!$E$25</f>
        <v>873.14665705724894</v>
      </c>
      <c r="W35" s="919">
        <f>'3.11 - Presupuesto gastos'!$E$25</f>
        <v>873.14665705724894</v>
      </c>
      <c r="X35" s="919">
        <f>'3.11 - Presupuesto gastos'!$E$25</f>
        <v>873.14665705724894</v>
      </c>
      <c r="Y35" s="919">
        <f>'3.11 - Presupuesto gastos'!$E$25</f>
        <v>873.14665705724894</v>
      </c>
      <c r="Z35" s="919">
        <f>'3.11 - Presupuesto gastos'!$E$25</f>
        <v>873.14665705724894</v>
      </c>
      <c r="AA35" s="919">
        <f>'3.11 - Presupuesto gastos'!$E$25</f>
        <v>873.14665705724894</v>
      </c>
      <c r="AB35" s="940">
        <f>'3.11 - Presupuesto gastos'!$E$25</f>
        <v>873.14665705724894</v>
      </c>
      <c r="AC35" s="935">
        <f>SUM(Q35:AB35)</f>
        <v>10477.759884686988</v>
      </c>
      <c r="AD35" s="937">
        <f>'3.11 - Presupuesto gastos'!$G$25</f>
        <v>971.25661662699792</v>
      </c>
      <c r="AE35" s="970">
        <f>'3.11 - Presupuesto gastos'!$G$25</f>
        <v>971.25661662699792</v>
      </c>
      <c r="AF35" s="970">
        <f>'3.11 - Presupuesto gastos'!$G$25</f>
        <v>971.25661662699792</v>
      </c>
      <c r="AG35" s="970">
        <f>'3.11 - Presupuesto gastos'!$G$25</f>
        <v>971.25661662699792</v>
      </c>
      <c r="AH35" s="970">
        <f>'3.11 - Presupuesto gastos'!$G$25</f>
        <v>971.25661662699792</v>
      </c>
      <c r="AI35" s="970">
        <f>'3.11 - Presupuesto gastos'!$G$25</f>
        <v>971.25661662699792</v>
      </c>
      <c r="AJ35" s="970">
        <f>'3.11 - Presupuesto gastos'!$G$25</f>
        <v>971.25661662699792</v>
      </c>
      <c r="AK35" s="970">
        <f>'3.11 - Presupuesto gastos'!$G$25</f>
        <v>971.25661662699792</v>
      </c>
      <c r="AL35" s="970">
        <f>'3.11 - Presupuesto gastos'!$G$25</f>
        <v>971.25661662699792</v>
      </c>
      <c r="AM35" s="970">
        <f>'3.11 - Presupuesto gastos'!$G$25</f>
        <v>971.25661662699792</v>
      </c>
      <c r="AN35" s="970">
        <f>'3.11 - Presupuesto gastos'!$G$25</f>
        <v>971.25661662699792</v>
      </c>
      <c r="AO35" s="976">
        <f>'3.11 - Presupuesto gastos'!$G$25</f>
        <v>971.25661662699792</v>
      </c>
      <c r="AP35" s="935">
        <f t="shared" si="2"/>
        <v>11655.079399523973</v>
      </c>
      <c r="AQ35" s="934">
        <f>'3.11 - Presupuesto gastos'!$I$25</f>
        <v>1418.932261041429</v>
      </c>
      <c r="AR35" s="919">
        <f>'3.11 - Presupuesto gastos'!$I$25</f>
        <v>1418.932261041429</v>
      </c>
      <c r="AS35" s="919">
        <f>'3.11 - Presupuesto gastos'!$I$25</f>
        <v>1418.932261041429</v>
      </c>
      <c r="AT35" s="919">
        <f>'3.11 - Presupuesto gastos'!$I$25</f>
        <v>1418.932261041429</v>
      </c>
      <c r="AU35" s="919">
        <f>'3.11 - Presupuesto gastos'!$I$25</f>
        <v>1418.932261041429</v>
      </c>
      <c r="AV35" s="919">
        <f>'3.11 - Presupuesto gastos'!$I$25</f>
        <v>1418.932261041429</v>
      </c>
      <c r="AW35" s="919">
        <f>'3.11 - Presupuesto gastos'!$I$25</f>
        <v>1418.932261041429</v>
      </c>
      <c r="AX35" s="919">
        <f>'3.11 - Presupuesto gastos'!$I$25</f>
        <v>1418.932261041429</v>
      </c>
      <c r="AY35" s="919">
        <f>'3.11 - Presupuesto gastos'!$I$25</f>
        <v>1418.932261041429</v>
      </c>
      <c r="AZ35" s="919">
        <f>'3.11 - Presupuesto gastos'!$I$25</f>
        <v>1418.932261041429</v>
      </c>
      <c r="BA35" s="919">
        <f>'3.11 - Presupuesto gastos'!$I$25</f>
        <v>1418.932261041429</v>
      </c>
      <c r="BB35" s="940">
        <f>'3.11 - Presupuesto gastos'!$I$25</f>
        <v>1418.932261041429</v>
      </c>
      <c r="BC35" s="935">
        <f t="shared" si="3"/>
        <v>17027.187132497147</v>
      </c>
      <c r="BD35" s="934">
        <f>'3.11 - Presupuesto gastos'!$K$25</f>
        <v>1953.3682028299522</v>
      </c>
      <c r="BE35" s="919">
        <f>'3.11 - Presupuesto gastos'!$K$25</f>
        <v>1953.3682028299522</v>
      </c>
      <c r="BF35" s="919">
        <f>'3.11 - Presupuesto gastos'!$K$25</f>
        <v>1953.3682028299522</v>
      </c>
      <c r="BG35" s="919">
        <f>'3.11 - Presupuesto gastos'!$K$25</f>
        <v>1953.3682028299522</v>
      </c>
      <c r="BH35" s="919">
        <f>'3.11 - Presupuesto gastos'!$K$25</f>
        <v>1953.3682028299522</v>
      </c>
      <c r="BI35" s="919">
        <f>'3.11 - Presupuesto gastos'!$K$25</f>
        <v>1953.3682028299522</v>
      </c>
      <c r="BJ35" s="919">
        <f>'3.11 - Presupuesto gastos'!$K$25</f>
        <v>1953.3682028299522</v>
      </c>
      <c r="BK35" s="919">
        <f>'3.11 - Presupuesto gastos'!$K$25</f>
        <v>1953.3682028299522</v>
      </c>
      <c r="BL35" s="919">
        <f>'3.11 - Presupuesto gastos'!$K$25</f>
        <v>1953.3682028299522</v>
      </c>
      <c r="BM35" s="919">
        <f>'3.11 - Presupuesto gastos'!$K$25</f>
        <v>1953.3682028299522</v>
      </c>
      <c r="BN35" s="919">
        <f>'3.11 - Presupuesto gastos'!$K$25</f>
        <v>1953.3682028299522</v>
      </c>
      <c r="BO35" s="940">
        <f>'3.11 - Presupuesto gastos'!$K$25</f>
        <v>1953.3682028299522</v>
      </c>
      <c r="BP35" s="935">
        <f t="shared" si="5"/>
        <v>23440.418433959425</v>
      </c>
    </row>
    <row r="36" spans="2:68">
      <c r="B36" s="1727" t="s">
        <v>607</v>
      </c>
      <c r="C36" s="273" t="s">
        <v>1161</v>
      </c>
      <c r="D36" s="1264">
        <f>$P$36/12</f>
        <v>0</v>
      </c>
      <c r="E36" s="216">
        <f t="shared" ref="E36:O36" si="6">$P$36/12</f>
        <v>0</v>
      </c>
      <c r="F36" s="216">
        <f t="shared" si="6"/>
        <v>0</v>
      </c>
      <c r="G36" s="216">
        <f t="shared" si="6"/>
        <v>0</v>
      </c>
      <c r="H36" s="216">
        <f t="shared" si="6"/>
        <v>0</v>
      </c>
      <c r="I36" s="216">
        <f t="shared" si="6"/>
        <v>0</v>
      </c>
      <c r="J36" s="216">
        <f t="shared" si="6"/>
        <v>0</v>
      </c>
      <c r="K36" s="216">
        <f t="shared" si="6"/>
        <v>0</v>
      </c>
      <c r="L36" s="216">
        <f t="shared" si="6"/>
        <v>0</v>
      </c>
      <c r="M36" s="216">
        <f t="shared" si="6"/>
        <v>0</v>
      </c>
      <c r="N36" s="216">
        <f t="shared" si="6"/>
        <v>0</v>
      </c>
      <c r="O36" s="1265">
        <f t="shared" si="6"/>
        <v>0</v>
      </c>
      <c r="P36" s="960">
        <f>'4.5 - Estado de resultados'!C16</f>
        <v>0</v>
      </c>
      <c r="Q36" s="1264">
        <f t="shared" ref="Q36:AB36" si="7">$AC$36/12</f>
        <v>0</v>
      </c>
      <c r="R36" s="216">
        <f t="shared" si="7"/>
        <v>0</v>
      </c>
      <c r="S36" s="216">
        <f t="shared" si="7"/>
        <v>0</v>
      </c>
      <c r="T36" s="216">
        <f t="shared" si="7"/>
        <v>0</v>
      </c>
      <c r="U36" s="216">
        <f t="shared" si="7"/>
        <v>0</v>
      </c>
      <c r="V36" s="216">
        <f t="shared" si="7"/>
        <v>0</v>
      </c>
      <c r="W36" s="216">
        <f t="shared" si="7"/>
        <v>0</v>
      </c>
      <c r="X36" s="216">
        <f t="shared" si="7"/>
        <v>0</v>
      </c>
      <c r="Y36" s="216">
        <f t="shared" si="7"/>
        <v>0</v>
      </c>
      <c r="Z36" s="216">
        <f t="shared" si="7"/>
        <v>0</v>
      </c>
      <c r="AA36" s="216">
        <f t="shared" si="7"/>
        <v>0</v>
      </c>
      <c r="AB36" s="1265">
        <f t="shared" si="7"/>
        <v>0</v>
      </c>
      <c r="AC36" s="1266">
        <f>'4.5 - Estado de resultados'!E16</f>
        <v>0</v>
      </c>
      <c r="AD36" s="1267">
        <f t="shared" ref="AD36:AL36" si="8">$AP$36/12</f>
        <v>0</v>
      </c>
      <c r="AE36" s="821">
        <f t="shared" si="8"/>
        <v>0</v>
      </c>
      <c r="AF36" s="821">
        <f t="shared" si="8"/>
        <v>0</v>
      </c>
      <c r="AG36" s="821">
        <f t="shared" si="8"/>
        <v>0</v>
      </c>
      <c r="AH36" s="821">
        <f t="shared" si="8"/>
        <v>0</v>
      </c>
      <c r="AI36" s="821">
        <f t="shared" si="8"/>
        <v>0</v>
      </c>
      <c r="AJ36" s="821">
        <f t="shared" si="8"/>
        <v>0</v>
      </c>
      <c r="AK36" s="821">
        <f t="shared" si="8"/>
        <v>0</v>
      </c>
      <c r="AL36" s="821">
        <f t="shared" si="8"/>
        <v>0</v>
      </c>
      <c r="AM36" s="821">
        <f>$AP$36/12</f>
        <v>0</v>
      </c>
      <c r="AN36" s="821">
        <f>$AP$36/12</f>
        <v>0</v>
      </c>
      <c r="AO36" s="1268">
        <f>$AP$36/12</f>
        <v>0</v>
      </c>
      <c r="AP36" s="1266">
        <f>'4.5 - Estado de resultados'!G16</f>
        <v>0</v>
      </c>
      <c r="AQ36" s="1264">
        <f t="shared" ref="AQ36:BB36" si="9">AT36/12</f>
        <v>0</v>
      </c>
      <c r="AR36" s="216">
        <f t="shared" si="9"/>
        <v>0</v>
      </c>
      <c r="AS36" s="216">
        <f t="shared" si="9"/>
        <v>0</v>
      </c>
      <c r="AT36" s="216">
        <f t="shared" si="9"/>
        <v>0</v>
      </c>
      <c r="AU36" s="216">
        <f t="shared" si="9"/>
        <v>0</v>
      </c>
      <c r="AV36" s="216">
        <f t="shared" si="9"/>
        <v>0</v>
      </c>
      <c r="AW36" s="216">
        <f t="shared" si="9"/>
        <v>0</v>
      </c>
      <c r="AX36" s="216">
        <f t="shared" si="9"/>
        <v>0</v>
      </c>
      <c r="AY36" s="216">
        <f t="shared" si="9"/>
        <v>0</v>
      </c>
      <c r="AZ36" s="216">
        <f t="shared" si="9"/>
        <v>0</v>
      </c>
      <c r="BA36" s="216">
        <f t="shared" si="9"/>
        <v>0</v>
      </c>
      <c r="BB36" s="1265">
        <f t="shared" si="9"/>
        <v>0</v>
      </c>
      <c r="BC36" s="1266">
        <f>'4.5 - Estado de resultados'!I16</f>
        <v>0</v>
      </c>
      <c r="BD36" s="1264">
        <f t="shared" ref="BD36:BN36" si="10">BE36/12</f>
        <v>0</v>
      </c>
      <c r="BE36" s="216">
        <f t="shared" si="10"/>
        <v>0</v>
      </c>
      <c r="BF36" s="216">
        <f t="shared" si="10"/>
        <v>0</v>
      </c>
      <c r="BG36" s="216">
        <f t="shared" si="10"/>
        <v>0</v>
      </c>
      <c r="BH36" s="216">
        <f t="shared" si="10"/>
        <v>0</v>
      </c>
      <c r="BI36" s="216">
        <f t="shared" si="10"/>
        <v>0</v>
      </c>
      <c r="BJ36" s="216">
        <f t="shared" si="10"/>
        <v>0</v>
      </c>
      <c r="BK36" s="216">
        <f t="shared" si="10"/>
        <v>0</v>
      </c>
      <c r="BL36" s="216">
        <f t="shared" si="10"/>
        <v>0</v>
      </c>
      <c r="BM36" s="216">
        <f t="shared" si="10"/>
        <v>0</v>
      </c>
      <c r="BN36" s="216">
        <f t="shared" si="10"/>
        <v>0</v>
      </c>
      <c r="BO36" s="1265">
        <f>BP36/12</f>
        <v>0</v>
      </c>
      <c r="BP36" s="1266">
        <f>'4.5 - Estado de resultados'!K16</f>
        <v>0</v>
      </c>
    </row>
    <row r="37" spans="2:68">
      <c r="B37" s="1728"/>
      <c r="C37" s="274" t="s">
        <v>1162</v>
      </c>
      <c r="D37" s="1120">
        <f t="shared" ref="D37:O37" si="11">$P$37/12</f>
        <v>0</v>
      </c>
      <c r="E37" s="212">
        <f t="shared" si="11"/>
        <v>0</v>
      </c>
      <c r="F37" s="212">
        <f t="shared" si="11"/>
        <v>0</v>
      </c>
      <c r="G37" s="212">
        <f t="shared" si="11"/>
        <v>0</v>
      </c>
      <c r="H37" s="212">
        <f t="shared" si="11"/>
        <v>0</v>
      </c>
      <c r="I37" s="212">
        <f t="shared" si="11"/>
        <v>0</v>
      </c>
      <c r="J37" s="212">
        <f t="shared" si="11"/>
        <v>0</v>
      </c>
      <c r="K37" s="212">
        <f t="shared" si="11"/>
        <v>0</v>
      </c>
      <c r="L37" s="212">
        <f t="shared" si="11"/>
        <v>0</v>
      </c>
      <c r="M37" s="212">
        <f t="shared" si="11"/>
        <v>0</v>
      </c>
      <c r="N37" s="212">
        <f t="shared" si="11"/>
        <v>0</v>
      </c>
      <c r="O37" s="1097">
        <f t="shared" si="11"/>
        <v>0</v>
      </c>
      <c r="P37" s="943">
        <f>'4.5 - Estado de resultados'!C17</f>
        <v>0</v>
      </c>
      <c r="Q37" s="1120">
        <f t="shared" ref="Q37:AB37" si="12">$AC$37/12</f>
        <v>2848.1172714913796</v>
      </c>
      <c r="R37" s="212">
        <f t="shared" si="12"/>
        <v>2848.1172714913796</v>
      </c>
      <c r="S37" s="212">
        <f t="shared" si="12"/>
        <v>2848.1172714913796</v>
      </c>
      <c r="T37" s="212">
        <f t="shared" si="12"/>
        <v>2848.1172714913796</v>
      </c>
      <c r="U37" s="212">
        <f t="shared" si="12"/>
        <v>2848.1172714913796</v>
      </c>
      <c r="V37" s="212">
        <f t="shared" si="12"/>
        <v>2848.1172714913796</v>
      </c>
      <c r="W37" s="212">
        <f t="shared" si="12"/>
        <v>2848.1172714913796</v>
      </c>
      <c r="X37" s="212">
        <f t="shared" si="12"/>
        <v>2848.1172714913796</v>
      </c>
      <c r="Y37" s="212">
        <f t="shared" si="12"/>
        <v>2848.1172714913796</v>
      </c>
      <c r="Z37" s="212">
        <f t="shared" si="12"/>
        <v>2848.1172714913796</v>
      </c>
      <c r="AA37" s="212">
        <f t="shared" si="12"/>
        <v>2848.1172714913796</v>
      </c>
      <c r="AB37" s="1097">
        <f t="shared" si="12"/>
        <v>2848.1172714913796</v>
      </c>
      <c r="AC37" s="1132">
        <f>'4.5 - Estado de resultados'!E17</f>
        <v>34177.407257896557</v>
      </c>
      <c r="AD37" s="1131">
        <f t="shared" ref="AD37:AO37" si="13">$AP$37/12</f>
        <v>0</v>
      </c>
      <c r="AE37" s="193">
        <f t="shared" si="13"/>
        <v>0</v>
      </c>
      <c r="AF37" s="193">
        <f t="shared" si="13"/>
        <v>0</v>
      </c>
      <c r="AG37" s="193">
        <f t="shared" si="13"/>
        <v>0</v>
      </c>
      <c r="AH37" s="193">
        <f t="shared" si="13"/>
        <v>0</v>
      </c>
      <c r="AI37" s="193">
        <f t="shared" si="13"/>
        <v>0</v>
      </c>
      <c r="AJ37" s="193">
        <f t="shared" si="13"/>
        <v>0</v>
      </c>
      <c r="AK37" s="193">
        <f t="shared" si="13"/>
        <v>0</v>
      </c>
      <c r="AL37" s="193">
        <f t="shared" si="13"/>
        <v>0</v>
      </c>
      <c r="AM37" s="193">
        <f t="shared" si="13"/>
        <v>0</v>
      </c>
      <c r="AN37" s="193">
        <f t="shared" si="13"/>
        <v>0</v>
      </c>
      <c r="AO37" s="1155">
        <f t="shared" si="13"/>
        <v>0</v>
      </c>
      <c r="AP37" s="1132">
        <f>'4.5 - Estado de resultados'!G17</f>
        <v>0</v>
      </c>
      <c r="AQ37" s="1120">
        <f t="shared" ref="AQ37:BB37" si="14">$BC$37/12</f>
        <v>0</v>
      </c>
      <c r="AR37" s="212">
        <f t="shared" si="14"/>
        <v>0</v>
      </c>
      <c r="AS37" s="212">
        <f t="shared" si="14"/>
        <v>0</v>
      </c>
      <c r="AT37" s="212">
        <f t="shared" si="14"/>
        <v>0</v>
      </c>
      <c r="AU37" s="212">
        <f t="shared" si="14"/>
        <v>0</v>
      </c>
      <c r="AV37" s="212">
        <f t="shared" si="14"/>
        <v>0</v>
      </c>
      <c r="AW37" s="212">
        <f t="shared" si="14"/>
        <v>0</v>
      </c>
      <c r="AX37" s="212">
        <f t="shared" si="14"/>
        <v>0</v>
      </c>
      <c r="AY37" s="212">
        <f t="shared" si="14"/>
        <v>0</v>
      </c>
      <c r="AZ37" s="212">
        <f t="shared" si="14"/>
        <v>0</v>
      </c>
      <c r="BA37" s="212">
        <f t="shared" si="14"/>
        <v>0</v>
      </c>
      <c r="BB37" s="1097">
        <f t="shared" si="14"/>
        <v>0</v>
      </c>
      <c r="BC37" s="1132">
        <f>'4.5 - Estado de resultados'!I17</f>
        <v>0</v>
      </c>
      <c r="BD37" s="1120">
        <f t="shared" ref="BD37:BO37" si="15">$BP$37/12</f>
        <v>0</v>
      </c>
      <c r="BE37" s="212">
        <f t="shared" si="15"/>
        <v>0</v>
      </c>
      <c r="BF37" s="212">
        <f t="shared" si="15"/>
        <v>0</v>
      </c>
      <c r="BG37" s="212">
        <f t="shared" si="15"/>
        <v>0</v>
      </c>
      <c r="BH37" s="212">
        <f t="shared" si="15"/>
        <v>0</v>
      </c>
      <c r="BI37" s="212">
        <f t="shared" si="15"/>
        <v>0</v>
      </c>
      <c r="BJ37" s="212">
        <f t="shared" si="15"/>
        <v>0</v>
      </c>
      <c r="BK37" s="212">
        <f t="shared" si="15"/>
        <v>0</v>
      </c>
      <c r="BL37" s="212">
        <f t="shared" si="15"/>
        <v>0</v>
      </c>
      <c r="BM37" s="212">
        <f t="shared" si="15"/>
        <v>0</v>
      </c>
      <c r="BN37" s="212">
        <f t="shared" si="15"/>
        <v>0</v>
      </c>
      <c r="BO37" s="1097">
        <f t="shared" si="15"/>
        <v>0</v>
      </c>
      <c r="BP37" s="1132">
        <f>'4.5 - Estado de resultados'!K17</f>
        <v>0</v>
      </c>
    </row>
    <row r="38" spans="2:68">
      <c r="B38" s="1728"/>
      <c r="C38" s="274" t="s">
        <v>1163</v>
      </c>
      <c r="D38" s="1120">
        <f>$P$38/12</f>
        <v>0</v>
      </c>
      <c r="E38" s="212">
        <f t="shared" ref="E38:O38" si="16">$P$38/12</f>
        <v>0</v>
      </c>
      <c r="F38" s="212">
        <f t="shared" si="16"/>
        <v>0</v>
      </c>
      <c r="G38" s="212">
        <f t="shared" si="16"/>
        <v>0</v>
      </c>
      <c r="H38" s="212">
        <f t="shared" si="16"/>
        <v>0</v>
      </c>
      <c r="I38" s="212">
        <f t="shared" si="16"/>
        <v>0</v>
      </c>
      <c r="J38" s="212">
        <f t="shared" si="16"/>
        <v>0</v>
      </c>
      <c r="K38" s="212">
        <f t="shared" si="16"/>
        <v>0</v>
      </c>
      <c r="L38" s="212">
        <f t="shared" si="16"/>
        <v>0</v>
      </c>
      <c r="M38" s="212">
        <f t="shared" si="16"/>
        <v>0</v>
      </c>
      <c r="N38" s="212">
        <f t="shared" si="16"/>
        <v>0</v>
      </c>
      <c r="O38" s="1097">
        <f t="shared" si="16"/>
        <v>0</v>
      </c>
      <c r="P38" s="943">
        <f>'4.5 - Estado de resultados'!C18</f>
        <v>0</v>
      </c>
      <c r="Q38" s="1120">
        <f>$AC$38/12</f>
        <v>0</v>
      </c>
      <c r="R38" s="212">
        <f t="shared" ref="R38:AB38" si="17">$AC$38/12</f>
        <v>0</v>
      </c>
      <c r="S38" s="212">
        <f t="shared" si="17"/>
        <v>0</v>
      </c>
      <c r="T38" s="212">
        <f t="shared" si="17"/>
        <v>0</v>
      </c>
      <c r="U38" s="212">
        <f t="shared" si="17"/>
        <v>0</v>
      </c>
      <c r="V38" s="212">
        <f t="shared" si="17"/>
        <v>0</v>
      </c>
      <c r="W38" s="212">
        <f t="shared" si="17"/>
        <v>0</v>
      </c>
      <c r="X38" s="212">
        <f t="shared" si="17"/>
        <v>0</v>
      </c>
      <c r="Y38" s="212">
        <f t="shared" si="17"/>
        <v>0</v>
      </c>
      <c r="Z38" s="212">
        <f t="shared" si="17"/>
        <v>0</v>
      </c>
      <c r="AA38" s="212">
        <f t="shared" si="17"/>
        <v>0</v>
      </c>
      <c r="AB38" s="1097">
        <f t="shared" si="17"/>
        <v>0</v>
      </c>
      <c r="AC38" s="1132">
        <f>'4.5 - Estado de resultados'!E18</f>
        <v>0</v>
      </c>
      <c r="AD38" s="1131">
        <f>$AP$38/12</f>
        <v>12390.264097343048</v>
      </c>
      <c r="AE38" s="193">
        <f t="shared" ref="AE38:AO38" si="18">$AP$38/12</f>
        <v>12390.264097343048</v>
      </c>
      <c r="AF38" s="193">
        <f t="shared" si="18"/>
        <v>12390.264097343048</v>
      </c>
      <c r="AG38" s="193">
        <f t="shared" si="18"/>
        <v>12390.264097343048</v>
      </c>
      <c r="AH38" s="193">
        <f t="shared" si="18"/>
        <v>12390.264097343048</v>
      </c>
      <c r="AI38" s="193">
        <f t="shared" si="18"/>
        <v>12390.264097343048</v>
      </c>
      <c r="AJ38" s="193">
        <f t="shared" si="18"/>
        <v>12390.264097343048</v>
      </c>
      <c r="AK38" s="193">
        <f t="shared" si="18"/>
        <v>12390.264097343048</v>
      </c>
      <c r="AL38" s="193">
        <f t="shared" si="18"/>
        <v>12390.264097343048</v>
      </c>
      <c r="AM38" s="193">
        <f t="shared" si="18"/>
        <v>12390.264097343048</v>
      </c>
      <c r="AN38" s="193">
        <f t="shared" si="18"/>
        <v>12390.264097343048</v>
      </c>
      <c r="AO38" s="1155">
        <f t="shared" si="18"/>
        <v>12390.264097343048</v>
      </c>
      <c r="AP38" s="1132">
        <f>'4.5 - Estado de resultados'!G18</f>
        <v>148683.16916811658</v>
      </c>
      <c r="AQ38" s="1120">
        <f>$BC$38/12</f>
        <v>28493.001801341201</v>
      </c>
      <c r="AR38" s="212">
        <f t="shared" ref="AR38:BB38" si="19">$BC$38/12</f>
        <v>28493.001801341201</v>
      </c>
      <c r="AS38" s="212">
        <f t="shared" si="19"/>
        <v>28493.001801341201</v>
      </c>
      <c r="AT38" s="212">
        <f t="shared" si="19"/>
        <v>28493.001801341201</v>
      </c>
      <c r="AU38" s="212">
        <f t="shared" si="19"/>
        <v>28493.001801341201</v>
      </c>
      <c r="AV38" s="212">
        <f t="shared" si="19"/>
        <v>28493.001801341201</v>
      </c>
      <c r="AW38" s="212">
        <f t="shared" si="19"/>
        <v>28493.001801341201</v>
      </c>
      <c r="AX38" s="212">
        <f t="shared" si="19"/>
        <v>28493.001801341201</v>
      </c>
      <c r="AY38" s="212">
        <f t="shared" si="19"/>
        <v>28493.001801341201</v>
      </c>
      <c r="AZ38" s="212">
        <f t="shared" si="19"/>
        <v>28493.001801341201</v>
      </c>
      <c r="BA38" s="212">
        <f t="shared" si="19"/>
        <v>28493.001801341201</v>
      </c>
      <c r="BB38" s="1097">
        <f t="shared" si="19"/>
        <v>28493.001801341201</v>
      </c>
      <c r="BC38" s="1132">
        <f>'4.5 - Estado de resultados'!I18</f>
        <v>341916.0216160944</v>
      </c>
      <c r="BD38" s="1120">
        <f>$BP$38/12</f>
        <v>48129.500132841385</v>
      </c>
      <c r="BE38" s="212">
        <f t="shared" ref="BE38:BO38" si="20">$BP$38/12</f>
        <v>48129.500132841385</v>
      </c>
      <c r="BF38" s="212">
        <f t="shared" si="20"/>
        <v>48129.500132841385</v>
      </c>
      <c r="BG38" s="212">
        <f t="shared" si="20"/>
        <v>48129.500132841385</v>
      </c>
      <c r="BH38" s="212">
        <f t="shared" si="20"/>
        <v>48129.500132841385</v>
      </c>
      <c r="BI38" s="212">
        <f t="shared" si="20"/>
        <v>48129.500132841385</v>
      </c>
      <c r="BJ38" s="212">
        <f t="shared" si="20"/>
        <v>48129.500132841385</v>
      </c>
      <c r="BK38" s="212">
        <f t="shared" si="20"/>
        <v>48129.500132841385</v>
      </c>
      <c r="BL38" s="212">
        <f t="shared" si="20"/>
        <v>48129.500132841385</v>
      </c>
      <c r="BM38" s="212">
        <f t="shared" si="20"/>
        <v>48129.500132841385</v>
      </c>
      <c r="BN38" s="212">
        <f t="shared" si="20"/>
        <v>48129.500132841385</v>
      </c>
      <c r="BO38" s="1097">
        <f t="shared" si="20"/>
        <v>48129.500132841385</v>
      </c>
      <c r="BP38" s="1132">
        <f>'4.5 - Estado de resultados'!K18</f>
        <v>577554.00159409666</v>
      </c>
    </row>
    <row r="39" spans="2:68" ht="15" thickBot="1">
      <c r="B39" s="1729"/>
      <c r="C39" s="275" t="s">
        <v>1164</v>
      </c>
      <c r="D39" s="1121">
        <f>($P$39/$P$8)*D8</f>
        <v>0</v>
      </c>
      <c r="E39" s="1121">
        <f t="shared" ref="E39:O39" si="21">($P$39/$P$8)*E8</f>
        <v>0</v>
      </c>
      <c r="F39" s="1121">
        <f t="shared" si="21"/>
        <v>70.799318673594442</v>
      </c>
      <c r="G39" s="1121">
        <f t="shared" si="21"/>
        <v>100.99608187718653</v>
      </c>
      <c r="H39" s="1121">
        <f t="shared" si="21"/>
        <v>174.89895241602881</v>
      </c>
      <c r="I39" s="1121">
        <f t="shared" si="21"/>
        <v>311.8326546078784</v>
      </c>
      <c r="J39" s="1121">
        <f t="shared" si="21"/>
        <v>426.16131918287249</v>
      </c>
      <c r="K39" s="1121">
        <f t="shared" si="21"/>
        <v>600.56725481787612</v>
      </c>
      <c r="L39" s="1121">
        <f t="shared" si="21"/>
        <v>612.15978698613674</v>
      </c>
      <c r="M39" s="1121">
        <f t="shared" si="21"/>
        <v>662.83052387131806</v>
      </c>
      <c r="N39" s="1121">
        <f t="shared" si="21"/>
        <v>769.2093996936544</v>
      </c>
      <c r="O39" s="1121">
        <f t="shared" si="21"/>
        <v>662.49076798928536</v>
      </c>
      <c r="P39" s="935">
        <f>'4.5 - Estado de resultados'!C14</f>
        <v>4391.9460601158316</v>
      </c>
      <c r="Q39" s="1121">
        <f>($AC$39/$AC$8)*Q8</f>
        <v>1351.1820418452853</v>
      </c>
      <c r="R39" s="1121">
        <f t="shared" ref="R39:AB39" si="22">($AC$39/$AC$8)*R8</f>
        <v>1349.0266445500592</v>
      </c>
      <c r="S39" s="1121">
        <f t="shared" si="22"/>
        <v>1589.3046291090943</v>
      </c>
      <c r="T39" s="1121">
        <f t="shared" si="22"/>
        <v>1511.0691758459564</v>
      </c>
      <c r="U39" s="1121">
        <f t="shared" si="22"/>
        <v>1569.6840762741886</v>
      </c>
      <c r="V39" s="1121">
        <f t="shared" si="22"/>
        <v>1748.725234775078</v>
      </c>
      <c r="W39" s="1121">
        <f t="shared" si="22"/>
        <v>1737.6694925231652</v>
      </c>
      <c r="X39" s="1121">
        <f t="shared" si="22"/>
        <v>1923.6064886036111</v>
      </c>
      <c r="Y39" s="1121">
        <f t="shared" si="22"/>
        <v>1829.5903346540254</v>
      </c>
      <c r="Z39" s="1121">
        <f t="shared" si="22"/>
        <v>1747.5616180689556</v>
      </c>
      <c r="AA39" s="1121">
        <f t="shared" si="22"/>
        <v>1814.1341135118539</v>
      </c>
      <c r="AB39" s="1121">
        <f t="shared" si="22"/>
        <v>1483.9819196126987</v>
      </c>
      <c r="AC39" s="1133">
        <f>'4.5 - Estado de resultados'!E14</f>
        <v>19655.535769373972</v>
      </c>
      <c r="AD39" s="1121">
        <f>($AP$39/$AP$8)*AD8</f>
        <v>2269.4736215849107</v>
      </c>
      <c r="AE39" s="1121">
        <f t="shared" ref="AE39:AO39" si="23">($AP$39/$AP$8)*AE8</f>
        <v>2265.3425849917671</v>
      </c>
      <c r="AF39" s="1121">
        <f t="shared" si="23"/>
        <v>2668.231091974033</v>
      </c>
      <c r="AG39" s="1121">
        <f t="shared" si="23"/>
        <v>2536.3220773370967</v>
      </c>
      <c r="AH39" s="1121">
        <f t="shared" si="23"/>
        <v>2634.1281130462226</v>
      </c>
      <c r="AI39" s="1121">
        <f t="shared" si="23"/>
        <v>2933.9426128270329</v>
      </c>
      <c r="AJ39" s="1121">
        <f t="shared" si="23"/>
        <v>2914.7641040751146</v>
      </c>
      <c r="AK39" s="1121">
        <f t="shared" si="23"/>
        <v>3225.9635697235053</v>
      </c>
      <c r="AL39" s="1121">
        <f t="shared" si="23"/>
        <v>3067.643256886482</v>
      </c>
      <c r="AM39" s="1121">
        <f t="shared" si="23"/>
        <v>2929.4901044869498</v>
      </c>
      <c r="AN39" s="1121">
        <f t="shared" si="23"/>
        <v>3040.4525580126328</v>
      </c>
      <c r="AO39" s="1121">
        <f t="shared" si="23"/>
        <v>2486.6090316261666</v>
      </c>
      <c r="AP39" s="1133">
        <f>'4.5 - Estado de resultados'!G14</f>
        <v>32972.362726571911</v>
      </c>
      <c r="AQ39" s="1121">
        <f>($BC$39/$BC$8)*AQ8</f>
        <v>3379.5767413543595</v>
      </c>
      <c r="AR39" s="1121">
        <f t="shared" ref="AR39:BB39" si="24">($BC$39/$BC$8)*AR8</f>
        <v>3372.7379161014414</v>
      </c>
      <c r="AS39" s="1121">
        <f t="shared" si="24"/>
        <v>3971.7728575553956</v>
      </c>
      <c r="AT39" s="1121">
        <f t="shared" si="24"/>
        <v>3774.6643387880094</v>
      </c>
      <c r="AU39" s="1121">
        <f t="shared" si="24"/>
        <v>3919.444415214758</v>
      </c>
      <c r="AV39" s="1121">
        <f t="shared" si="24"/>
        <v>4364.6920744309728</v>
      </c>
      <c r="AW39" s="1121">
        <f t="shared" si="24"/>
        <v>4335.313183348122</v>
      </c>
      <c r="AX39" s="1121">
        <f t="shared" si="24"/>
        <v>4797.249135566929</v>
      </c>
      <c r="AY39" s="1121">
        <f t="shared" si="24"/>
        <v>4560.937195441481</v>
      </c>
      <c r="AZ39" s="1121">
        <f t="shared" si="24"/>
        <v>4354.7012301802852</v>
      </c>
      <c r="BA39" s="1121">
        <f t="shared" si="24"/>
        <v>4518.7915442825133</v>
      </c>
      <c r="BB39" s="1121">
        <f t="shared" si="24"/>
        <v>3694.9620328431561</v>
      </c>
      <c r="BC39" s="1133">
        <f>'4.5 - Estado de resultados'!I14</f>
        <v>49044.842665107433</v>
      </c>
      <c r="BD39" s="1121">
        <f>($BP$39/$BP$8)*BD8</f>
        <v>4707.1181783288694</v>
      </c>
      <c r="BE39" s="1121">
        <f t="shared" ref="BE39:BO39" si="25">($BP$39/$BP$8)*BE8</f>
        <v>4696.7242009293959</v>
      </c>
      <c r="BF39" s="1121">
        <f t="shared" si="25"/>
        <v>5529.8986069742832</v>
      </c>
      <c r="BG39" s="1121">
        <f t="shared" si="25"/>
        <v>5254.5075952921816</v>
      </c>
      <c r="BH39" s="1121">
        <f t="shared" si="25"/>
        <v>5455.0624852120363</v>
      </c>
      <c r="BI39" s="1121">
        <f t="shared" si="25"/>
        <v>6073.6668883730872</v>
      </c>
      <c r="BJ39" s="1121">
        <f t="shared" si="25"/>
        <v>6031.7116786725901</v>
      </c>
      <c r="BK39" s="1121">
        <f t="shared" si="25"/>
        <v>6673.2239571203299</v>
      </c>
      <c r="BL39" s="1121">
        <f t="shared" si="25"/>
        <v>6343.3902984485558</v>
      </c>
      <c r="BM39" s="1121">
        <f t="shared" si="25"/>
        <v>6055.5026512580243</v>
      </c>
      <c r="BN39" s="1121">
        <f t="shared" si="25"/>
        <v>6282.5970580493367</v>
      </c>
      <c r="BO39" s="1121">
        <f t="shared" si="25"/>
        <v>5136.3251587231507</v>
      </c>
      <c r="BP39" s="1133">
        <f>'4.5 - Estado de resultados'!K14</f>
        <v>68239.728757381832</v>
      </c>
    </row>
    <row r="40" spans="2:68" ht="15" thickBot="1">
      <c r="B40" s="302"/>
      <c r="C40" s="327"/>
      <c r="D40" s="922"/>
      <c r="E40" s="923"/>
      <c r="F40" s="923"/>
      <c r="G40" s="923"/>
      <c r="H40" s="923"/>
      <c r="I40" s="923"/>
      <c r="J40" s="923"/>
      <c r="K40" s="923"/>
      <c r="L40" s="923"/>
      <c r="M40" s="923"/>
      <c r="N40" s="923"/>
      <c r="O40" s="924"/>
      <c r="P40" s="925"/>
      <c r="Q40" s="957"/>
      <c r="R40" s="952"/>
      <c r="S40" s="952"/>
      <c r="T40" s="952"/>
      <c r="U40" s="952"/>
      <c r="V40" s="952"/>
      <c r="W40" s="952"/>
      <c r="X40" s="952"/>
      <c r="Y40" s="952"/>
      <c r="Z40" s="952"/>
      <c r="AA40" s="952"/>
      <c r="AB40" s="953"/>
      <c r="AC40" s="954"/>
      <c r="AD40" s="955"/>
      <c r="AE40" s="955"/>
      <c r="AF40" s="955"/>
      <c r="AG40" s="955"/>
      <c r="AH40" s="955"/>
      <c r="AI40" s="955"/>
      <c r="AJ40" s="955"/>
      <c r="AK40" s="955"/>
      <c r="AL40" s="955"/>
      <c r="AM40" s="955"/>
      <c r="AN40" s="955"/>
      <c r="AO40" s="956"/>
      <c r="AP40" s="954"/>
      <c r="AQ40" s="957"/>
      <c r="AR40" s="952"/>
      <c r="AS40" s="952"/>
      <c r="AT40" s="952"/>
      <c r="AU40" s="952"/>
      <c r="AV40" s="952"/>
      <c r="AW40" s="952"/>
      <c r="AX40" s="952"/>
      <c r="AY40" s="952"/>
      <c r="AZ40" s="952"/>
      <c r="BA40" s="952"/>
      <c r="BB40" s="953"/>
      <c r="BC40" s="954"/>
      <c r="BD40" s="957"/>
      <c r="BE40" s="952"/>
      <c r="BF40" s="952"/>
      <c r="BG40" s="952"/>
      <c r="BH40" s="952"/>
      <c r="BI40" s="952"/>
      <c r="BJ40" s="952"/>
      <c r="BK40" s="952"/>
      <c r="BL40" s="952"/>
      <c r="BM40" s="952"/>
      <c r="BN40" s="952"/>
      <c r="BO40" s="953"/>
      <c r="BP40" s="954"/>
    </row>
    <row r="41" spans="2:68">
      <c r="B41" s="304" t="s">
        <v>1165</v>
      </c>
      <c r="C41" s="326"/>
      <c r="D41" s="958">
        <f t="shared" ref="D41:AI41" si="26">SUM(D13:D39)</f>
        <v>20437.741132506973</v>
      </c>
      <c r="E41" s="958">
        <f t="shared" si="26"/>
        <v>20437.741132506973</v>
      </c>
      <c r="F41" s="958">
        <f t="shared" si="26"/>
        <v>45333.48270128583</v>
      </c>
      <c r="G41" s="958">
        <f t="shared" si="26"/>
        <v>43228.976748998975</v>
      </c>
      <c r="H41" s="958">
        <f t="shared" si="26"/>
        <v>44666.901817751837</v>
      </c>
      <c r="I41" s="958">
        <f t="shared" si="26"/>
        <v>44142.601897498636</v>
      </c>
      <c r="J41" s="958">
        <f t="shared" si="26"/>
        <v>46035.1252311793</v>
      </c>
      <c r="K41" s="958">
        <f t="shared" si="26"/>
        <v>49165.95279048563</v>
      </c>
      <c r="L41" s="958">
        <f t="shared" si="26"/>
        <v>48028.652844104094</v>
      </c>
      <c r="M41" s="958">
        <f t="shared" si="26"/>
        <v>48248.226037273213</v>
      </c>
      <c r="N41" s="958">
        <f t="shared" si="26"/>
        <v>47521.666913392684</v>
      </c>
      <c r="O41" s="959">
        <f t="shared" si="26"/>
        <v>49434.288014228405</v>
      </c>
      <c r="P41" s="932">
        <f t="shared" si="26"/>
        <v>506681.3572612126</v>
      </c>
      <c r="Q41" s="931">
        <f t="shared" si="26"/>
        <v>81561.799490241785</v>
      </c>
      <c r="R41" s="958">
        <f t="shared" si="26"/>
        <v>79150.338532382055</v>
      </c>
      <c r="S41" s="958">
        <f t="shared" si="26"/>
        <v>84445.194828038701</v>
      </c>
      <c r="T41" s="958">
        <f t="shared" si="26"/>
        <v>79474.42359497385</v>
      </c>
      <c r="U41" s="958">
        <f t="shared" si="26"/>
        <v>81998.803559099601</v>
      </c>
      <c r="V41" s="958">
        <f t="shared" si="26"/>
        <v>79949.735712832087</v>
      </c>
      <c r="W41" s="958">
        <f t="shared" si="26"/>
        <v>79927.624228328277</v>
      </c>
      <c r="X41" s="958">
        <f t="shared" si="26"/>
        <v>85113.79854702772</v>
      </c>
      <c r="Y41" s="958">
        <f t="shared" si="26"/>
        <v>82518.616075859274</v>
      </c>
      <c r="Z41" s="958">
        <f t="shared" si="26"/>
        <v>82354.558642689124</v>
      </c>
      <c r="AA41" s="958">
        <f t="shared" si="26"/>
        <v>80080.553470305647</v>
      </c>
      <c r="AB41" s="959">
        <f t="shared" si="26"/>
        <v>84234.549409045881</v>
      </c>
      <c r="AC41" s="960">
        <f t="shared" si="26"/>
        <v>980809.99609082367</v>
      </c>
      <c r="AD41" s="944">
        <f t="shared" si="26"/>
        <v>154480.23152438816</v>
      </c>
      <c r="AE41" s="959">
        <f t="shared" si="26"/>
        <v>149538.72199854584</v>
      </c>
      <c r="AF41" s="959">
        <f t="shared" si="26"/>
        <v>160079.45177322379</v>
      </c>
      <c r="AG41" s="959">
        <f t="shared" si="26"/>
        <v>149990.35448578806</v>
      </c>
      <c r="AH41" s="959">
        <f t="shared" si="26"/>
        <v>155087.98901015703</v>
      </c>
      <c r="AI41" s="959">
        <f t="shared" si="26"/>
        <v>150653.05537827127</v>
      </c>
      <c r="AJ41" s="959">
        <f t="shared" ref="AJ41:BP41" si="27">SUM(AJ13:AJ39)</f>
        <v>150621.0911970181</v>
      </c>
      <c r="AK41" s="959">
        <f t="shared" si="27"/>
        <v>161009.00590280621</v>
      </c>
      <c r="AL41" s="959">
        <f t="shared" si="27"/>
        <v>155810.51424989078</v>
      </c>
      <c r="AM41" s="959">
        <f t="shared" si="27"/>
        <v>155580.25899589158</v>
      </c>
      <c r="AN41" s="959">
        <f t="shared" si="27"/>
        <v>150830.5719535806</v>
      </c>
      <c r="AO41" s="959">
        <f t="shared" si="27"/>
        <v>159776.74833931067</v>
      </c>
      <c r="AP41" s="943">
        <f t="shared" si="27"/>
        <v>1853457.9948088718</v>
      </c>
      <c r="AQ41" s="944">
        <f t="shared" si="27"/>
        <v>180290.56101537545</v>
      </c>
      <c r="AR41" s="959">
        <f t="shared" si="27"/>
        <v>175087.73750899985</v>
      </c>
      <c r="AS41" s="959">
        <f t="shared" si="27"/>
        <v>186273.86090968183</v>
      </c>
      <c r="AT41" s="959">
        <f t="shared" si="27"/>
        <v>175623.63940591528</v>
      </c>
      <c r="AU41" s="959">
        <f t="shared" si="27"/>
        <v>181010.38458052266</v>
      </c>
      <c r="AV41" s="959">
        <f t="shared" si="27"/>
        <v>176410.3430534392</v>
      </c>
      <c r="AW41" s="959">
        <f t="shared" si="27"/>
        <v>176371.17119866211</v>
      </c>
      <c r="AX41" s="959">
        <f t="shared" si="27"/>
        <v>187374.49594703055</v>
      </c>
      <c r="AY41" s="959">
        <f t="shared" si="27"/>
        <v>181865.70828749161</v>
      </c>
      <c r="AZ41" s="959">
        <f t="shared" si="27"/>
        <v>181590.72700047668</v>
      </c>
      <c r="BA41" s="959">
        <f t="shared" si="27"/>
        <v>176615.80901324129</v>
      </c>
      <c r="BB41" s="959">
        <f t="shared" si="27"/>
        <v>185904.77981006549</v>
      </c>
      <c r="BC41" s="932">
        <f t="shared" si="27"/>
        <v>2164419.2177309012</v>
      </c>
      <c r="BD41" s="944">
        <f t="shared" si="27"/>
        <v>267147.53864110069</v>
      </c>
      <c r="BE41" s="959">
        <f t="shared" si="27"/>
        <v>259181.77593441086</v>
      </c>
      <c r="BF41" s="959">
        <f t="shared" si="27"/>
        <v>276196.48328278516</v>
      </c>
      <c r="BG41" s="959">
        <f t="shared" si="27"/>
        <v>259925.48712689459</v>
      </c>
      <c r="BH41" s="959">
        <f t="shared" si="27"/>
        <v>268144.79771694494</v>
      </c>
      <c r="BI41" s="959">
        <f t="shared" si="27"/>
        <v>261017.69951766913</v>
      </c>
      <c r="BJ41" s="959">
        <f t="shared" si="27"/>
        <v>260961.75923806845</v>
      </c>
      <c r="BK41" s="959">
        <f t="shared" si="27"/>
        <v>277720.91708297987</v>
      </c>
      <c r="BL41" s="959">
        <f t="shared" si="27"/>
        <v>269329.23480126029</v>
      </c>
      <c r="BM41" s="959">
        <f t="shared" si="27"/>
        <v>268945.38460500626</v>
      </c>
      <c r="BN41" s="959">
        <f t="shared" si="27"/>
        <v>261296.27307723748</v>
      </c>
      <c r="BO41" s="959">
        <f t="shared" si="27"/>
        <v>275671.71868511697</v>
      </c>
      <c r="BP41" s="943">
        <f t="shared" si="27"/>
        <v>3205539.0697094738</v>
      </c>
    </row>
    <row r="42" spans="2:68">
      <c r="B42" s="303" t="s">
        <v>1166</v>
      </c>
      <c r="C42" s="279"/>
      <c r="D42" s="961">
        <f t="shared" ref="D42:AI42" si="28">D11-D41</f>
        <v>-20437.741132506973</v>
      </c>
      <c r="E42" s="961">
        <f t="shared" si="28"/>
        <v>-20437.741132506973</v>
      </c>
      <c r="F42" s="961">
        <f t="shared" si="28"/>
        <v>-45333.48270128583</v>
      </c>
      <c r="G42" s="961">
        <f t="shared" si="28"/>
        <v>-40868.99945987916</v>
      </c>
      <c r="H42" s="961">
        <f t="shared" si="28"/>
        <v>-38940.388466059136</v>
      </c>
      <c r="I42" s="961">
        <f t="shared" si="28"/>
        <v>-34946.10075439146</v>
      </c>
      <c r="J42" s="961">
        <f t="shared" si="28"/>
        <v>-29810.738330382395</v>
      </c>
      <c r="K42" s="961">
        <f t="shared" si="28"/>
        <v>-24566.153664127269</v>
      </c>
      <c r="L42" s="961">
        <f t="shared" si="28"/>
        <v>-13804.367044079139</v>
      </c>
      <c r="M42" s="961">
        <f t="shared" si="28"/>
        <v>-7823.9913104727821</v>
      </c>
      <c r="N42" s="961">
        <f t="shared" si="28"/>
        <v>-5021.9898848108569</v>
      </c>
      <c r="O42" s="962">
        <f t="shared" si="28"/>
        <v>-1699.623895395991</v>
      </c>
      <c r="P42" s="943">
        <f t="shared" si="28"/>
        <v>-283691.31777589803</v>
      </c>
      <c r="Q42" s="971">
        <f t="shared" si="28"/>
        <v>-33838.460567477116</v>
      </c>
      <c r="R42" s="963">
        <f t="shared" si="28"/>
        <v>-12027.911537896347</v>
      </c>
      <c r="S42" s="963">
        <f t="shared" si="28"/>
        <v>5561.7613851394708</v>
      </c>
      <c r="T42" s="963">
        <f t="shared" si="28"/>
        <v>18469.95219366462</v>
      </c>
      <c r="U42" s="963">
        <f t="shared" si="28"/>
        <v>21346.989939402105</v>
      </c>
      <c r="V42" s="963">
        <f t="shared" si="28"/>
        <v>22742.039357839429</v>
      </c>
      <c r="W42" s="963">
        <f t="shared" si="28"/>
        <v>30686.019473313965</v>
      </c>
      <c r="X42" s="963">
        <f t="shared" si="28"/>
        <v>31099.359029580402</v>
      </c>
      <c r="Y42" s="963">
        <f t="shared" si="28"/>
        <v>39523.916628366627</v>
      </c>
      <c r="Z42" s="963">
        <f t="shared" si="28"/>
        <v>42752.002132565452</v>
      </c>
      <c r="AA42" s="963">
        <f t="shared" si="28"/>
        <v>39157.844953793741</v>
      </c>
      <c r="AB42" s="962">
        <f t="shared" si="28"/>
        <v>34488.641643647788</v>
      </c>
      <c r="AC42" s="943">
        <f t="shared" si="28"/>
        <v>239962.15463194053</v>
      </c>
      <c r="AD42" s="945">
        <f t="shared" si="28"/>
        <v>-44543.030420236377</v>
      </c>
      <c r="AE42" s="962">
        <f t="shared" si="28"/>
        <v>-24423.537291958841</v>
      </c>
      <c r="AF42" s="962">
        <f t="shared" si="28"/>
        <v>-8918.9115540011553</v>
      </c>
      <c r="AG42" s="962">
        <f t="shared" si="28"/>
        <v>14462.101413072</v>
      </c>
      <c r="AH42" s="962">
        <f t="shared" si="28"/>
        <v>18397.116633547354</v>
      </c>
      <c r="AI42" s="962">
        <f t="shared" si="28"/>
        <v>21695.284301172767</v>
      </c>
      <c r="AJ42" s="962">
        <f t="shared" ref="AJ42:BO42" si="29">AJ11-AJ41</f>
        <v>34981.266332090425</v>
      </c>
      <c r="AK42" s="962">
        <f t="shared" si="29"/>
        <v>33947.884660598735</v>
      </c>
      <c r="AL42" s="962">
        <f t="shared" si="29"/>
        <v>48880.408210063266</v>
      </c>
      <c r="AM42" s="962">
        <f t="shared" si="29"/>
        <v>54206.635224441387</v>
      </c>
      <c r="AN42" s="962">
        <f t="shared" si="29"/>
        <v>49073.87342553385</v>
      </c>
      <c r="AO42" s="962">
        <f t="shared" si="29"/>
        <v>39221.340410675475</v>
      </c>
      <c r="AP42" s="943">
        <f t="shared" si="29"/>
        <v>236980.4313449997</v>
      </c>
      <c r="AQ42" s="945">
        <f t="shared" si="29"/>
        <v>3944.8253059179115</v>
      </c>
      <c r="AR42" s="962">
        <f t="shared" si="29"/>
        <v>20451.788257017703</v>
      </c>
      <c r="AS42" s="962">
        <f t="shared" si="29"/>
        <v>38803.294338844891</v>
      </c>
      <c r="AT42" s="962">
        <f t="shared" si="29"/>
        <v>69193.386382645956</v>
      </c>
      <c r="AU42" s="962">
        <f t="shared" si="29"/>
        <v>77204.188630924182</v>
      </c>
      <c r="AV42" s="962">
        <f t="shared" si="29"/>
        <v>80059.94874665307</v>
      </c>
      <c r="AW42" s="962">
        <f t="shared" si="29"/>
        <v>99766.711789528927</v>
      </c>
      <c r="AX42" s="962">
        <f t="shared" si="29"/>
        <v>102625.67931227264</v>
      </c>
      <c r="AY42" s="962">
        <f t="shared" si="29"/>
        <v>122553.03567634345</v>
      </c>
      <c r="AZ42" s="962">
        <f t="shared" si="29"/>
        <v>130348.81736647035</v>
      </c>
      <c r="BA42" s="962">
        <f t="shared" si="29"/>
        <v>120572.13850748425</v>
      </c>
      <c r="BB42" s="962">
        <f t="shared" si="29"/>
        <v>109878.31267202777</v>
      </c>
      <c r="BC42" s="943">
        <f t="shared" si="29"/>
        <v>975402.12698613107</v>
      </c>
      <c r="BD42" s="945">
        <f t="shared" si="29"/>
        <v>6644.2472630882985</v>
      </c>
      <c r="BE42" s="962">
        <f t="shared" si="29"/>
        <v>20887.56443798996</v>
      </c>
      <c r="BF42" s="962">
        <f t="shared" si="29"/>
        <v>37264.929359156988</v>
      </c>
      <c r="BG42" s="962">
        <f t="shared" si="29"/>
        <v>80961.939803228015</v>
      </c>
      <c r="BH42" s="962">
        <f t="shared" si="29"/>
        <v>91335.409025270492</v>
      </c>
      <c r="BI42" s="962">
        <f t="shared" si="29"/>
        <v>95967.969832471485</v>
      </c>
      <c r="BJ42" s="962">
        <f t="shared" si="29"/>
        <v>123329.21988143565</v>
      </c>
      <c r="BK42" s="962">
        <f t="shared" si="29"/>
        <v>125791.70181854273</v>
      </c>
      <c r="BL42" s="962">
        <f t="shared" si="29"/>
        <v>154168.61972517031</v>
      </c>
      <c r="BM42" s="962">
        <f t="shared" si="29"/>
        <v>164941.75724728993</v>
      </c>
      <c r="BN42" s="962">
        <f t="shared" si="29"/>
        <v>152000.15857964853</v>
      </c>
      <c r="BO42" s="962">
        <f t="shared" si="29"/>
        <v>135598.27162512834</v>
      </c>
      <c r="BP42" s="943">
        <f t="shared" ref="BP42" si="30">BP11-BP41</f>
        <v>1188891.7885984215</v>
      </c>
    </row>
    <row r="43" spans="2:68" ht="15" thickBot="1">
      <c r="B43" s="325" t="s">
        <v>1167</v>
      </c>
      <c r="C43" s="280"/>
      <c r="D43" s="936">
        <f>D42</f>
        <v>-20437.741132506973</v>
      </c>
      <c r="E43" s="919">
        <f>D43+E42</f>
        <v>-40875.482265013947</v>
      </c>
      <c r="F43" s="919">
        <f t="shared" ref="F43:O43" si="31">E43+F42</f>
        <v>-86208.964966299769</v>
      </c>
      <c r="G43" s="919">
        <f t="shared" si="31"/>
        <v>-127077.96442617892</v>
      </c>
      <c r="H43" s="919">
        <f t="shared" si="31"/>
        <v>-166018.35289223806</v>
      </c>
      <c r="I43" s="919">
        <f t="shared" si="31"/>
        <v>-200964.45364662952</v>
      </c>
      <c r="J43" s="919">
        <f t="shared" si="31"/>
        <v>-230775.19197701191</v>
      </c>
      <c r="K43" s="919">
        <f t="shared" si="31"/>
        <v>-255341.3456411392</v>
      </c>
      <c r="L43" s="919">
        <f t="shared" si="31"/>
        <v>-269145.71268521831</v>
      </c>
      <c r="M43" s="919">
        <f t="shared" si="31"/>
        <v>-276969.70399569109</v>
      </c>
      <c r="N43" s="919">
        <f t="shared" si="31"/>
        <v>-281991.69388050196</v>
      </c>
      <c r="O43" s="940">
        <f t="shared" si="31"/>
        <v>-283691.31777589797</v>
      </c>
      <c r="P43" s="935">
        <f>P42</f>
        <v>-283691.31777589803</v>
      </c>
      <c r="Q43" s="972">
        <f>O43+Q42</f>
        <v>-317529.77834337507</v>
      </c>
      <c r="R43" s="964">
        <f t="shared" ref="R43:AB43" si="32">Q43+R42</f>
        <v>-329557.68988127145</v>
      </c>
      <c r="S43" s="964">
        <f t="shared" si="32"/>
        <v>-323995.92849613196</v>
      </c>
      <c r="T43" s="964">
        <f t="shared" si="32"/>
        <v>-305525.97630246734</v>
      </c>
      <c r="U43" s="964">
        <f t="shared" si="32"/>
        <v>-284178.98636306525</v>
      </c>
      <c r="V43" s="964">
        <f t="shared" si="32"/>
        <v>-261436.94700522581</v>
      </c>
      <c r="W43" s="964">
        <f t="shared" si="32"/>
        <v>-230750.92753191185</v>
      </c>
      <c r="X43" s="964">
        <f t="shared" si="32"/>
        <v>-199651.56850233144</v>
      </c>
      <c r="Y43" s="964">
        <f t="shared" si="32"/>
        <v>-160127.65187396482</v>
      </c>
      <c r="Z43" s="964">
        <f t="shared" si="32"/>
        <v>-117375.64974139936</v>
      </c>
      <c r="AA43" s="964">
        <f t="shared" si="32"/>
        <v>-78217.804787605623</v>
      </c>
      <c r="AB43" s="940">
        <f t="shared" si="32"/>
        <v>-43729.163143957834</v>
      </c>
      <c r="AC43" s="935">
        <f>P42+AC42</f>
        <v>-43729.163143957499</v>
      </c>
      <c r="AD43" s="951">
        <f t="shared" ref="AD43:AO43" si="33">AC43+AD42</f>
        <v>-88272.193564193876</v>
      </c>
      <c r="AE43" s="940">
        <f t="shared" si="33"/>
        <v>-112695.73085615272</v>
      </c>
      <c r="AF43" s="940">
        <f t="shared" si="33"/>
        <v>-121614.64241015387</v>
      </c>
      <c r="AG43" s="940">
        <f t="shared" si="33"/>
        <v>-107152.54099708187</v>
      </c>
      <c r="AH43" s="940">
        <f t="shared" si="33"/>
        <v>-88755.424363534519</v>
      </c>
      <c r="AI43" s="940">
        <f t="shared" si="33"/>
        <v>-67060.140062361752</v>
      </c>
      <c r="AJ43" s="940">
        <f t="shared" si="33"/>
        <v>-32078.873730271327</v>
      </c>
      <c r="AK43" s="940">
        <f t="shared" si="33"/>
        <v>1869.0109303274076</v>
      </c>
      <c r="AL43" s="940">
        <f t="shared" si="33"/>
        <v>50749.419140390673</v>
      </c>
      <c r="AM43" s="940">
        <f t="shared" si="33"/>
        <v>104956.05436483206</v>
      </c>
      <c r="AN43" s="940">
        <f t="shared" si="33"/>
        <v>154029.92779036591</v>
      </c>
      <c r="AO43" s="940">
        <f t="shared" si="33"/>
        <v>193251.26820104138</v>
      </c>
      <c r="AP43" s="935">
        <f>AC43+AP42</f>
        <v>193251.2682010422</v>
      </c>
      <c r="AQ43" s="951">
        <f t="shared" ref="AQ43:BB43" si="34">AP43+AQ42</f>
        <v>197196.09350696011</v>
      </c>
      <c r="AR43" s="940">
        <f t="shared" si="34"/>
        <v>217647.88176397781</v>
      </c>
      <c r="AS43" s="940">
        <f t="shared" si="34"/>
        <v>256451.1761028227</v>
      </c>
      <c r="AT43" s="940">
        <f t="shared" si="34"/>
        <v>325644.56248546869</v>
      </c>
      <c r="AU43" s="940">
        <f t="shared" si="34"/>
        <v>402848.7511163929</v>
      </c>
      <c r="AV43" s="940">
        <f t="shared" si="34"/>
        <v>482908.69986304594</v>
      </c>
      <c r="AW43" s="940">
        <f t="shared" si="34"/>
        <v>582675.4116525749</v>
      </c>
      <c r="AX43" s="940">
        <f t="shared" si="34"/>
        <v>685301.09096484748</v>
      </c>
      <c r="AY43" s="940">
        <f t="shared" si="34"/>
        <v>807854.12664119096</v>
      </c>
      <c r="AZ43" s="940">
        <f t="shared" si="34"/>
        <v>938202.94400766131</v>
      </c>
      <c r="BA43" s="940">
        <f t="shared" si="34"/>
        <v>1058775.0825151457</v>
      </c>
      <c r="BB43" s="940">
        <f t="shared" si="34"/>
        <v>1168653.3951871735</v>
      </c>
      <c r="BC43" s="935">
        <f>BC42+AP43</f>
        <v>1168653.3951871733</v>
      </c>
      <c r="BD43" s="951">
        <f t="shared" ref="BD43:BO43" si="35">BC43+BD42</f>
        <v>1175297.6424502616</v>
      </c>
      <c r="BE43" s="940">
        <f t="shared" si="35"/>
        <v>1196185.2068882515</v>
      </c>
      <c r="BF43" s="940">
        <f t="shared" si="35"/>
        <v>1233450.1362474086</v>
      </c>
      <c r="BG43" s="940">
        <f t="shared" si="35"/>
        <v>1314412.0760506366</v>
      </c>
      <c r="BH43" s="940">
        <f t="shared" si="35"/>
        <v>1405747.4850759071</v>
      </c>
      <c r="BI43" s="940">
        <f t="shared" si="35"/>
        <v>1501715.4549083787</v>
      </c>
      <c r="BJ43" s="940">
        <f t="shared" si="35"/>
        <v>1625044.6747898143</v>
      </c>
      <c r="BK43" s="940">
        <f t="shared" si="35"/>
        <v>1750836.3766083571</v>
      </c>
      <c r="BL43" s="940">
        <f t="shared" si="35"/>
        <v>1905004.9963335274</v>
      </c>
      <c r="BM43" s="940">
        <f t="shared" si="35"/>
        <v>2069946.7535808173</v>
      </c>
      <c r="BN43" s="940">
        <f t="shared" si="35"/>
        <v>2221946.912160466</v>
      </c>
      <c r="BO43" s="940">
        <f t="shared" si="35"/>
        <v>2357545.1837855941</v>
      </c>
      <c r="BP43" s="935">
        <f>BP42+BC43</f>
        <v>2357545.183785595</v>
      </c>
    </row>
    <row r="44" spans="2:68" ht="18" customHeight="1" thickBot="1">
      <c r="AD44" s="1305"/>
      <c r="AE44" s="1305"/>
      <c r="AF44" s="1305"/>
      <c r="AG44" s="1305"/>
      <c r="AH44" s="1305"/>
      <c r="AI44" s="1305"/>
      <c r="AJ44" s="1305"/>
      <c r="AK44" s="1305"/>
      <c r="AL44" s="1305"/>
      <c r="AM44" s="1305"/>
      <c r="AN44" s="1305"/>
      <c r="AO44" s="1305"/>
    </row>
    <row r="45" spans="2:68" ht="18" customHeight="1" thickBot="1">
      <c r="B45" s="484" t="s">
        <v>1168</v>
      </c>
      <c r="C45" s="336">
        <f>MIN('4.1 - Cash Flow '!D43:O43,'4.1 - Cash Flow '!Q43:AB43,'4.1 - Cash Flow '!AD43:AO43,'4.1 - Cash Flow '!AQ43:BB43,'4.1 - Cash Flow '!BD43:BO43)</f>
        <v>-329557.68988127145</v>
      </c>
      <c r="AD45" s="1305"/>
      <c r="AE45" s="1305"/>
      <c r="AF45" s="1305"/>
      <c r="AG45" s="1305"/>
      <c r="AH45" s="1305"/>
      <c r="AI45" s="1305"/>
      <c r="AJ45" s="1305"/>
      <c r="AK45" s="1305"/>
      <c r="AL45" s="1305"/>
      <c r="AM45" s="1305"/>
      <c r="AN45" s="1305"/>
      <c r="AO45" s="1305"/>
    </row>
    <row r="46" spans="2:68" ht="18" customHeight="1" thickBot="1">
      <c r="AD46" s="1305"/>
      <c r="AE46" s="1305"/>
      <c r="AF46" s="1305"/>
      <c r="AG46" s="1305"/>
      <c r="AH46" s="1305"/>
      <c r="AI46" s="1305"/>
      <c r="AJ46" s="1305"/>
      <c r="AK46" s="1305"/>
      <c r="AL46" s="1305"/>
      <c r="AM46" s="1305"/>
      <c r="AN46" s="1305"/>
      <c r="AO46" s="1305"/>
    </row>
    <row r="47" spans="2:68" s="162" customFormat="1" ht="19.899999999999999" customHeight="1">
      <c r="B47" s="485" t="s">
        <v>1169</v>
      </c>
      <c r="C47" s="524" t="s">
        <v>1170</v>
      </c>
      <c r="AD47" s="161"/>
      <c r="AE47" s="161"/>
      <c r="AF47" s="161"/>
      <c r="AG47" s="161"/>
      <c r="AH47" s="161"/>
      <c r="AI47" s="161"/>
      <c r="AJ47" s="161"/>
      <c r="AK47" s="161"/>
      <c r="AL47" s="161"/>
      <c r="AM47" s="161"/>
      <c r="AN47" s="161"/>
      <c r="AO47" s="161"/>
    </row>
    <row r="48" spans="2:68">
      <c r="B48" s="332" t="s">
        <v>1171</v>
      </c>
      <c r="C48" s="333">
        <f>C45-'3.10 - Inversiones'!C147</f>
        <v>-563385.68264935119</v>
      </c>
      <c r="AB48" s="1104"/>
      <c r="AD48" s="1305"/>
      <c r="AE48" s="1305"/>
      <c r="AF48" s="1305"/>
      <c r="AG48" s="1305"/>
      <c r="AH48" s="1305"/>
      <c r="AI48" s="1305"/>
      <c r="AJ48" s="1305"/>
      <c r="AK48" s="1305"/>
      <c r="AL48" s="1305"/>
      <c r="AM48" s="1305"/>
      <c r="AN48" s="1305"/>
      <c r="AO48" s="1305"/>
    </row>
    <row r="49" spans="2:3">
      <c r="B49" s="332">
        <v>1</v>
      </c>
      <c r="C49" s="333">
        <f>P42</f>
        <v>-283691.31777589803</v>
      </c>
    </row>
    <row r="50" spans="2:3">
      <c r="B50" s="332">
        <v>2</v>
      </c>
      <c r="C50" s="333">
        <f>AC42</f>
        <v>239962.15463194053</v>
      </c>
    </row>
    <row r="51" spans="2:3">
      <c r="B51" s="332">
        <v>3</v>
      </c>
      <c r="C51" s="333">
        <f>AP42</f>
        <v>236980.4313449997</v>
      </c>
    </row>
    <row r="52" spans="2:3">
      <c r="B52" s="332">
        <v>4</v>
      </c>
      <c r="C52" s="333">
        <f>BC42</f>
        <v>975402.12698613107</v>
      </c>
    </row>
    <row r="53" spans="2:3" ht="15" thickBot="1">
      <c r="B53" s="334">
        <v>5</v>
      </c>
      <c r="C53" s="335">
        <f>BP42</f>
        <v>1188891.7885984215</v>
      </c>
    </row>
    <row r="54" spans="2:3" ht="15" thickBot="1">
      <c r="B54" s="493"/>
      <c r="C54" s="494"/>
    </row>
    <row r="55" spans="2:3">
      <c r="B55" s="485" t="s">
        <v>1172</v>
      </c>
      <c r="C55" s="1260">
        <v>0.125</v>
      </c>
    </row>
    <row r="56" spans="2:3">
      <c r="B56" s="483" t="s">
        <v>1173</v>
      </c>
      <c r="C56" s="981">
        <f t="array" ref="C56">NPV(C55,C49:C53)+C48</f>
        <v>809172.14196810429</v>
      </c>
    </row>
    <row r="57" spans="2:3" ht="15" thickBot="1">
      <c r="B57" s="486" t="s">
        <v>1174</v>
      </c>
      <c r="C57" s="982">
        <f>IRR(C48:C53)</f>
        <v>0.3563779220601837</v>
      </c>
    </row>
    <row r="103" spans="3:3">
      <c r="C103" s="237"/>
    </row>
    <row r="104" spans="3:3">
      <c r="C104" s="237"/>
    </row>
    <row r="105" spans="3:3">
      <c r="C105" s="237"/>
    </row>
    <row r="106" spans="3:3">
      <c r="C106" s="237"/>
    </row>
    <row r="107" spans="3:3">
      <c r="C107" s="237"/>
    </row>
    <row r="108" spans="3:3">
      <c r="C108" s="237"/>
    </row>
    <row r="109" spans="3:3">
      <c r="C109" s="251"/>
    </row>
    <row r="110" spans="3:3">
      <c r="C110" s="237"/>
    </row>
    <row r="111" spans="3:3">
      <c r="C111" s="237"/>
    </row>
    <row r="112" spans="3:3">
      <c r="C112" s="308"/>
    </row>
    <row r="113" spans="3:3">
      <c r="C113" s="237"/>
    </row>
    <row r="114" spans="3:3">
      <c r="C114" s="237"/>
    </row>
    <row r="115" spans="3:3">
      <c r="C115" s="237"/>
    </row>
    <row r="116" spans="3:3">
      <c r="C116" s="251"/>
    </row>
    <row r="117" spans="3:3">
      <c r="C117" s="237"/>
    </row>
    <row r="118" spans="3:3">
      <c r="C118" s="237"/>
    </row>
    <row r="119" spans="3:3">
      <c r="C119" s="237"/>
    </row>
    <row r="120" spans="3:3">
      <c r="C120" s="237"/>
    </row>
    <row r="121" spans="3:3">
      <c r="C121" s="153"/>
    </row>
  </sheetData>
  <mergeCells count="12">
    <mergeCell ref="B36:B39"/>
    <mergeCell ref="B4:B6"/>
    <mergeCell ref="B17:B22"/>
    <mergeCell ref="D4:BP5"/>
    <mergeCell ref="B30:B34"/>
    <mergeCell ref="B15:B16"/>
    <mergeCell ref="D6:P6"/>
    <mergeCell ref="Q6:AC6"/>
    <mergeCell ref="AD6:AP6"/>
    <mergeCell ref="AQ6:BC6"/>
    <mergeCell ref="BD6:BP6"/>
    <mergeCell ref="B24:B29"/>
  </mergeCells>
  <hyperlinks>
    <hyperlink ref="C2" location="Indice!A1" display="INDICE" xr:uid="{00000000-0004-0000-1900-000000000000}"/>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B2:E82"/>
  <sheetViews>
    <sheetView showGridLines="0" topLeftCell="A46" zoomScale="80" zoomScaleNormal="80" workbookViewId="0">
      <selection activeCell="D80" sqref="D80"/>
    </sheetView>
  </sheetViews>
  <sheetFormatPr defaultColWidth="11.5703125" defaultRowHeight="14.45"/>
  <cols>
    <col min="1" max="1" width="5.28515625" customWidth="1"/>
    <col min="2" max="2" width="8.28515625" customWidth="1"/>
    <col min="4" max="4" width="17.7109375" customWidth="1"/>
  </cols>
  <sheetData>
    <row r="2" spans="2:5">
      <c r="B2" s="1384" t="s">
        <v>48</v>
      </c>
      <c r="C2" s="1384"/>
      <c r="D2" s="337" t="s">
        <v>49</v>
      </c>
    </row>
    <row r="3" spans="2:5" ht="15" thickBot="1"/>
    <row r="4" spans="2:5" ht="29.65" customHeight="1">
      <c r="B4" s="85" t="s">
        <v>50</v>
      </c>
      <c r="C4" s="86" t="s">
        <v>51</v>
      </c>
      <c r="D4" s="1336" t="s">
        <v>65</v>
      </c>
    </row>
    <row r="5" spans="2:5">
      <c r="B5" s="1387">
        <v>2021</v>
      </c>
      <c r="C5" s="1" t="s">
        <v>53</v>
      </c>
      <c r="D5" s="38">
        <v>1177000</v>
      </c>
    </row>
    <row r="6" spans="2:5">
      <c r="B6" s="1387"/>
      <c r="C6" s="1" t="s">
        <v>54</v>
      </c>
      <c r="D6" s="38">
        <v>1042073</v>
      </c>
    </row>
    <row r="7" spans="2:5">
      <c r="B7" s="1387"/>
      <c r="C7" s="1" t="s">
        <v>55</v>
      </c>
      <c r="D7" s="38">
        <v>1235951</v>
      </c>
      <c r="E7" s="41"/>
    </row>
    <row r="8" spans="2:5">
      <c r="B8" s="1387"/>
      <c r="C8" s="1" t="s">
        <v>56</v>
      </c>
      <c r="D8" s="38">
        <v>1381623</v>
      </c>
    </row>
    <row r="9" spans="2:5">
      <c r="B9" s="1387"/>
      <c r="C9" s="1" t="s">
        <v>57</v>
      </c>
      <c r="D9" s="38">
        <v>1136418</v>
      </c>
    </row>
    <row r="10" spans="2:5">
      <c r="B10" s="1387"/>
      <c r="C10" s="1" t="s">
        <v>58</v>
      </c>
      <c r="D10" s="38">
        <v>1185724</v>
      </c>
    </row>
    <row r="11" spans="2:5">
      <c r="B11" s="1387"/>
      <c r="C11" s="1" t="s">
        <v>59</v>
      </c>
      <c r="D11" s="38">
        <v>1209356</v>
      </c>
    </row>
    <row r="12" spans="2:5">
      <c r="B12" s="1387"/>
      <c r="C12" s="1" t="s">
        <v>60</v>
      </c>
      <c r="D12" s="38">
        <v>1480981</v>
      </c>
    </row>
    <row r="13" spans="2:5">
      <c r="B13" s="1387"/>
      <c r="C13" s="1" t="s">
        <v>61</v>
      </c>
      <c r="D13" s="38">
        <v>1598974</v>
      </c>
    </row>
    <row r="14" spans="2:5">
      <c r="B14" s="1387"/>
      <c r="C14" s="1" t="s">
        <v>62</v>
      </c>
      <c r="D14" s="38">
        <v>1676241</v>
      </c>
    </row>
    <row r="15" spans="2:5">
      <c r="B15" s="1387"/>
      <c r="C15" s="1" t="s">
        <v>63</v>
      </c>
      <c r="D15" s="38">
        <v>1643055</v>
      </c>
    </row>
    <row r="16" spans="2:5" ht="15" thickBot="1">
      <c r="B16" s="1388"/>
      <c r="C16" s="2" t="s">
        <v>64</v>
      </c>
      <c r="D16" s="39">
        <v>1583533</v>
      </c>
      <c r="E16" s="185">
        <f>SUM(D5:D16)</f>
        <v>16350929</v>
      </c>
    </row>
    <row r="17" spans="2:5">
      <c r="B17" s="1386">
        <v>2022</v>
      </c>
      <c r="C17" s="11" t="s">
        <v>53</v>
      </c>
      <c r="D17" s="40">
        <v>931196</v>
      </c>
    </row>
    <row r="18" spans="2:5">
      <c r="B18" s="1387"/>
      <c r="C18" s="1" t="s">
        <v>54</v>
      </c>
      <c r="D18" s="38">
        <v>1251105</v>
      </c>
    </row>
    <row r="19" spans="2:5">
      <c r="B19" s="1387"/>
      <c r="C19" s="1" t="s">
        <v>55</v>
      </c>
      <c r="D19" s="38">
        <v>1321945</v>
      </c>
    </row>
    <row r="20" spans="2:5">
      <c r="B20" s="1387"/>
      <c r="C20" s="1" t="s">
        <v>56</v>
      </c>
      <c r="D20" s="38">
        <v>1389595</v>
      </c>
    </row>
    <row r="21" spans="2:5">
      <c r="B21" s="1387"/>
      <c r="C21" s="1" t="s">
        <v>57</v>
      </c>
      <c r="D21" s="38">
        <v>1243274</v>
      </c>
    </row>
    <row r="22" spans="2:5">
      <c r="B22" s="1387"/>
      <c r="C22" s="1" t="s">
        <v>58</v>
      </c>
      <c r="D22" s="38">
        <v>1233971</v>
      </c>
    </row>
    <row r="23" spans="2:5">
      <c r="B23" s="1387"/>
      <c r="C23" s="1" t="s">
        <v>59</v>
      </c>
      <c r="D23" s="38">
        <v>1385101</v>
      </c>
    </row>
    <row r="24" spans="2:5">
      <c r="B24" s="1387"/>
      <c r="C24" s="1" t="s">
        <v>60</v>
      </c>
      <c r="D24" s="38">
        <v>1295129</v>
      </c>
    </row>
    <row r="25" spans="2:5">
      <c r="B25" s="1387"/>
      <c r="C25" s="1" t="s">
        <v>61</v>
      </c>
      <c r="D25" s="38">
        <v>1249290</v>
      </c>
    </row>
    <row r="26" spans="2:5">
      <c r="B26" s="1387"/>
      <c r="C26" s="1" t="s">
        <v>62</v>
      </c>
      <c r="D26" s="38">
        <v>1128244.3999999999</v>
      </c>
    </row>
    <row r="27" spans="2:5">
      <c r="B27" s="1387"/>
      <c r="C27" s="1" t="s">
        <v>63</v>
      </c>
      <c r="D27" s="38">
        <v>1335963</v>
      </c>
    </row>
    <row r="28" spans="2:5" ht="15" thickBot="1">
      <c r="B28" s="1385"/>
      <c r="C28" s="562" t="s">
        <v>64</v>
      </c>
      <c r="D28" s="563">
        <v>1089098</v>
      </c>
      <c r="E28" s="185">
        <f>SUM(D17:D28)</f>
        <v>14853911.4</v>
      </c>
    </row>
    <row r="29" spans="2:5">
      <c r="B29" s="1386">
        <v>2023</v>
      </c>
      <c r="C29" s="11" t="s">
        <v>53</v>
      </c>
      <c r="D29" s="40">
        <v>1081831</v>
      </c>
    </row>
    <row r="30" spans="2:5">
      <c r="B30" s="1387"/>
      <c r="C30" s="1" t="s">
        <v>54</v>
      </c>
      <c r="D30" s="38">
        <v>907332</v>
      </c>
    </row>
    <row r="31" spans="2:5">
      <c r="B31" s="1387"/>
      <c r="C31" s="1" t="s">
        <v>55</v>
      </c>
      <c r="D31" s="38">
        <v>1468718</v>
      </c>
    </row>
    <row r="32" spans="2:5">
      <c r="B32" s="1387"/>
      <c r="C32" s="1" t="s">
        <v>56</v>
      </c>
      <c r="D32" s="38">
        <v>1062273</v>
      </c>
    </row>
    <row r="33" spans="2:4">
      <c r="B33" s="1387"/>
      <c r="C33" s="1" t="s">
        <v>57</v>
      </c>
      <c r="D33" s="38">
        <v>1067063</v>
      </c>
    </row>
    <row r="34" spans="2:4">
      <c r="B34" s="1387"/>
      <c r="C34" s="1" t="s">
        <v>58</v>
      </c>
      <c r="D34" s="38">
        <v>1072665</v>
      </c>
    </row>
    <row r="35" spans="2:4">
      <c r="B35" s="1387"/>
      <c r="C35" s="1" t="s">
        <v>59</v>
      </c>
      <c r="D35" s="38">
        <v>1128557</v>
      </c>
    </row>
    <row r="36" spans="2:4">
      <c r="B36" s="1387"/>
      <c r="C36" s="1" t="s">
        <v>60</v>
      </c>
      <c r="D36" s="38">
        <v>1134941</v>
      </c>
    </row>
    <row r="37" spans="2:4">
      <c r="B37" s="1387"/>
      <c r="C37" s="1" t="s">
        <v>61</v>
      </c>
      <c r="D37" s="38">
        <v>1187329</v>
      </c>
    </row>
    <row r="38" spans="2:4">
      <c r="B38" s="1387"/>
      <c r="C38" s="1" t="s">
        <v>62</v>
      </c>
      <c r="D38" s="38">
        <v>1188781</v>
      </c>
    </row>
    <row r="39" spans="2:4">
      <c r="B39" s="1387"/>
      <c r="C39" s="1" t="s">
        <v>63</v>
      </c>
      <c r="D39" s="38">
        <v>1437600</v>
      </c>
    </row>
    <row r="40" spans="2:4" ht="15" thickBot="1">
      <c r="B40" s="1388"/>
      <c r="C40" s="2" t="s">
        <v>64</v>
      </c>
      <c r="D40" s="39">
        <v>991046</v>
      </c>
    </row>
    <row r="41" spans="2:4" ht="15" thickBot="1">
      <c r="C41" s="564" t="s">
        <v>66</v>
      </c>
      <c r="D41" s="565">
        <f>AVERAGE(D5:D40)</f>
        <v>1248138.2333333334</v>
      </c>
    </row>
    <row r="42" spans="2:4" ht="15" thickBot="1"/>
    <row r="43" spans="2:4" ht="32.65" customHeight="1">
      <c r="B43" s="85" t="s">
        <v>50</v>
      </c>
      <c r="C43" s="86" t="s">
        <v>51</v>
      </c>
      <c r="D43" s="1363" t="s">
        <v>65</v>
      </c>
    </row>
    <row r="44" spans="2:4">
      <c r="B44" s="1387">
        <v>2021</v>
      </c>
      <c r="C44" s="1" t="s">
        <v>53</v>
      </c>
      <c r="D44" s="42">
        <v>137179</v>
      </c>
    </row>
    <row r="45" spans="2:4">
      <c r="B45" s="1387"/>
      <c r="C45" s="1" t="s">
        <v>54</v>
      </c>
      <c r="D45" s="42">
        <v>176078</v>
      </c>
    </row>
    <row r="46" spans="2:4">
      <c r="B46" s="1387"/>
      <c r="C46" s="1" t="s">
        <v>55</v>
      </c>
      <c r="D46" s="42">
        <v>139162</v>
      </c>
    </row>
    <row r="47" spans="2:4">
      <c r="B47" s="1387"/>
      <c r="C47" s="1" t="s">
        <v>56</v>
      </c>
      <c r="D47" s="42">
        <v>164655</v>
      </c>
    </row>
    <row r="48" spans="2:4">
      <c r="B48" s="1387"/>
      <c r="C48" s="1" t="s">
        <v>57</v>
      </c>
      <c r="D48" s="42">
        <v>138866</v>
      </c>
    </row>
    <row r="49" spans="2:4">
      <c r="B49" s="1387"/>
      <c r="C49" s="1" t="s">
        <v>58</v>
      </c>
      <c r="D49" s="42">
        <v>120041</v>
      </c>
    </row>
    <row r="50" spans="2:4">
      <c r="B50" s="1387"/>
      <c r="C50" s="1" t="s">
        <v>59</v>
      </c>
      <c r="D50" s="42">
        <v>127407</v>
      </c>
    </row>
    <row r="51" spans="2:4">
      <c r="B51" s="1387"/>
      <c r="C51" s="1" t="s">
        <v>60</v>
      </c>
      <c r="D51" s="42">
        <v>223843</v>
      </c>
    </row>
    <row r="52" spans="2:4">
      <c r="B52" s="1387"/>
      <c r="C52" s="1" t="s">
        <v>61</v>
      </c>
      <c r="D52" s="42">
        <v>230319</v>
      </c>
    </row>
    <row r="53" spans="2:4">
      <c r="B53" s="1387"/>
      <c r="C53" s="1" t="s">
        <v>62</v>
      </c>
      <c r="D53" s="42">
        <v>231891</v>
      </c>
    </row>
    <row r="54" spans="2:4">
      <c r="B54" s="1387"/>
      <c r="C54" s="1" t="s">
        <v>63</v>
      </c>
      <c r="D54" s="42">
        <v>229728</v>
      </c>
    </row>
    <row r="55" spans="2:4" ht="15" thickBot="1">
      <c r="B55" s="1388"/>
      <c r="C55" s="2" t="s">
        <v>64</v>
      </c>
      <c r="D55" s="43">
        <v>269255</v>
      </c>
    </row>
    <row r="56" spans="2:4">
      <c r="B56" s="1386">
        <v>2022</v>
      </c>
      <c r="C56" s="11" t="s">
        <v>53</v>
      </c>
      <c r="D56" s="44">
        <v>109854</v>
      </c>
    </row>
    <row r="57" spans="2:4">
      <c r="B57" s="1387"/>
      <c r="C57" s="1" t="s">
        <v>54</v>
      </c>
      <c r="D57" s="42">
        <v>203687</v>
      </c>
    </row>
    <row r="58" spans="2:4">
      <c r="B58" s="1387"/>
      <c r="C58" s="1" t="s">
        <v>55</v>
      </c>
      <c r="D58" s="42">
        <v>195298</v>
      </c>
    </row>
    <row r="59" spans="2:4">
      <c r="B59" s="1387"/>
      <c r="C59" s="1" t="s">
        <v>56</v>
      </c>
      <c r="D59" s="42">
        <v>119624</v>
      </c>
    </row>
    <row r="60" spans="2:4">
      <c r="B60" s="1387"/>
      <c r="C60" s="1" t="s">
        <v>57</v>
      </c>
      <c r="D60" s="42">
        <v>152485</v>
      </c>
    </row>
    <row r="61" spans="2:4">
      <c r="B61" s="1387"/>
      <c r="C61" s="1" t="s">
        <v>58</v>
      </c>
      <c r="D61" s="42">
        <v>150377</v>
      </c>
    </row>
    <row r="62" spans="2:4">
      <c r="B62" s="1387"/>
      <c r="C62" s="1" t="s">
        <v>59</v>
      </c>
      <c r="D62" s="42">
        <v>280967</v>
      </c>
    </row>
    <row r="63" spans="2:4">
      <c r="B63" s="1387"/>
      <c r="C63" s="1" t="s">
        <v>60</v>
      </c>
      <c r="D63" s="42">
        <v>137303</v>
      </c>
    </row>
    <row r="64" spans="2:4">
      <c r="B64" s="1387"/>
      <c r="C64" s="1" t="s">
        <v>61</v>
      </c>
      <c r="D64" s="42">
        <v>139505</v>
      </c>
    </row>
    <row r="65" spans="2:4">
      <c r="B65" s="1387"/>
      <c r="C65" s="1" t="s">
        <v>62</v>
      </c>
      <c r="D65" s="42">
        <v>129393</v>
      </c>
    </row>
    <row r="66" spans="2:4">
      <c r="B66" s="1387"/>
      <c r="C66" s="1" t="s">
        <v>63</v>
      </c>
      <c r="D66" s="42">
        <v>144407</v>
      </c>
    </row>
    <row r="67" spans="2:4" ht="15" thickBot="1">
      <c r="B67" s="1385"/>
      <c r="C67" s="562" t="s">
        <v>64</v>
      </c>
      <c r="D67" s="566">
        <v>114704</v>
      </c>
    </row>
    <row r="68" spans="2:4">
      <c r="B68" s="1386">
        <v>2023</v>
      </c>
      <c r="C68" s="11" t="s">
        <v>53</v>
      </c>
      <c r="D68" s="44">
        <v>152940</v>
      </c>
    </row>
    <row r="69" spans="2:4">
      <c r="B69" s="1387"/>
      <c r="C69" s="1" t="s">
        <v>54</v>
      </c>
      <c r="D69" s="42">
        <v>127366</v>
      </c>
    </row>
    <row r="70" spans="2:4">
      <c r="B70" s="1387"/>
      <c r="C70" s="1" t="s">
        <v>55</v>
      </c>
      <c r="D70" s="42">
        <v>407887</v>
      </c>
    </row>
    <row r="71" spans="2:4">
      <c r="B71" s="1387"/>
      <c r="C71" s="1" t="s">
        <v>56</v>
      </c>
      <c r="D71" s="42">
        <v>103442</v>
      </c>
    </row>
    <row r="72" spans="2:4">
      <c r="B72" s="1387"/>
      <c r="C72" s="1" t="s">
        <v>57</v>
      </c>
      <c r="D72" s="42">
        <v>143459</v>
      </c>
    </row>
    <row r="73" spans="2:4">
      <c r="B73" s="1387"/>
      <c r="C73" s="1" t="s">
        <v>58</v>
      </c>
      <c r="D73" s="42">
        <v>87924</v>
      </c>
    </row>
    <row r="74" spans="2:4">
      <c r="B74" s="1387"/>
      <c r="C74" s="1" t="s">
        <v>59</v>
      </c>
      <c r="D74" s="42">
        <v>174694</v>
      </c>
    </row>
    <row r="75" spans="2:4">
      <c r="B75" s="1387"/>
      <c r="C75" s="1" t="s">
        <v>60</v>
      </c>
      <c r="D75" s="42">
        <v>122796</v>
      </c>
    </row>
    <row r="76" spans="2:4">
      <c r="B76" s="1387"/>
      <c r="C76" s="1" t="s">
        <v>61</v>
      </c>
      <c r="D76" s="42">
        <v>90121</v>
      </c>
    </row>
    <row r="77" spans="2:4">
      <c r="B77" s="1387"/>
      <c r="C77" s="1" t="s">
        <v>62</v>
      </c>
      <c r="D77" s="42">
        <v>98390</v>
      </c>
    </row>
    <row r="78" spans="2:4">
      <c r="B78" s="1387"/>
      <c r="C78" s="1" t="s">
        <v>63</v>
      </c>
      <c r="D78" s="42">
        <v>256640</v>
      </c>
    </row>
    <row r="79" spans="2:4" ht="15" thickBot="1">
      <c r="B79" s="1388"/>
      <c r="C79" s="2" t="s">
        <v>64</v>
      </c>
      <c r="D79" s="43">
        <v>68939</v>
      </c>
    </row>
    <row r="80" spans="2:4" ht="15" thickBot="1">
      <c r="C80" s="564" t="s">
        <v>66</v>
      </c>
      <c r="D80" s="565">
        <f>AVERAGE(D44:D79)</f>
        <v>163906.27777777778</v>
      </c>
    </row>
    <row r="81" spans="3:4" ht="15" thickBot="1"/>
    <row r="82" spans="3:4" ht="15" thickBot="1">
      <c r="C82" s="88" t="s">
        <v>67</v>
      </c>
      <c r="D82" s="50">
        <f>D80/D41</f>
        <v>0.13132061289400807</v>
      </c>
    </row>
  </sheetData>
  <mergeCells count="7">
    <mergeCell ref="B2:C2"/>
    <mergeCell ref="B29:B40"/>
    <mergeCell ref="B68:B79"/>
    <mergeCell ref="B5:B16"/>
    <mergeCell ref="B17:B28"/>
    <mergeCell ref="B44:B55"/>
    <mergeCell ref="B56:B67"/>
  </mergeCells>
  <hyperlinks>
    <hyperlink ref="D2" location="Indice!A1" display="INDICE" xr:uid="{00000000-0004-0000-0200-000000000000}"/>
  </hyperlinks>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92D050"/>
  </sheetPr>
  <dimension ref="B2:H25"/>
  <sheetViews>
    <sheetView showGridLines="0" topLeftCell="A12" zoomScaleNormal="100" workbookViewId="0">
      <selection activeCell="G21" sqref="G21"/>
    </sheetView>
  </sheetViews>
  <sheetFormatPr defaultColWidth="11.42578125" defaultRowHeight="14.45"/>
  <cols>
    <col min="1" max="1" width="4.85546875" customWidth="1"/>
    <col min="2" max="2" width="49" bestFit="1" customWidth="1"/>
    <col min="3" max="3" width="16.42578125" bestFit="1" customWidth="1"/>
    <col min="4" max="4" width="19.28515625" bestFit="1" customWidth="1"/>
    <col min="5" max="8" width="18" bestFit="1" customWidth="1"/>
  </cols>
  <sheetData>
    <row r="2" spans="2:8">
      <c r="B2" s="1305" t="s">
        <v>126</v>
      </c>
      <c r="C2" s="337" t="s">
        <v>49</v>
      </c>
    </row>
    <row r="3" spans="2:8" ht="15" thickBot="1"/>
    <row r="4" spans="2:8">
      <c r="B4" s="1755" t="s">
        <v>1175</v>
      </c>
      <c r="C4" s="1756"/>
      <c r="D4" s="1756"/>
      <c r="E4" s="1756"/>
      <c r="F4" s="1756"/>
      <c r="G4" s="1756"/>
      <c r="H4" s="1757"/>
    </row>
    <row r="5" spans="2:8" ht="15" thickBot="1">
      <c r="B5" s="1758"/>
      <c r="C5" s="1759"/>
      <c r="D5" s="1759"/>
      <c r="E5" s="1759"/>
      <c r="F5" s="1759"/>
      <c r="G5" s="1759"/>
      <c r="H5" s="1760"/>
    </row>
    <row r="6" spans="2:8" ht="15" thickBot="1">
      <c r="B6" s="1355" t="s">
        <v>50</v>
      </c>
      <c r="C6" s="1316" t="s">
        <v>1176</v>
      </c>
      <c r="D6" s="1316">
        <v>2024</v>
      </c>
      <c r="E6" s="1316">
        <v>2025</v>
      </c>
      <c r="F6" s="1316">
        <v>2026</v>
      </c>
      <c r="G6" s="1316">
        <v>2027</v>
      </c>
      <c r="H6" s="1317">
        <v>2028</v>
      </c>
    </row>
    <row r="7" spans="2:8">
      <c r="B7" s="316" t="s">
        <v>1143</v>
      </c>
      <c r="C7" s="216"/>
      <c r="D7" s="216">
        <f>'1.6 - Politica de precio'!D45*'1.5 - Proyeccion demanda'!D112</f>
        <v>292796.4040077221</v>
      </c>
      <c r="E7" s="216">
        <f>'1.6 - Politica de precio'!D46*'1.5 - Proyeccion demanda'!D113</f>
        <v>1310369.0512915982</v>
      </c>
      <c r="F7" s="216">
        <f>'1.6 - Politica de precio'!D47*'1.5 - Proyeccion demanda'!D114</f>
        <v>2198157.5151047944</v>
      </c>
      <c r="G7" s="216">
        <f>'1.6 - Politica de precio'!D48*'1.5 - Proyeccion demanda'!D115</f>
        <v>3269656.1776738288</v>
      </c>
      <c r="H7" s="288">
        <f>'1.6 - Politica de precio'!D49*'1.5 - Proyeccion demanda'!D116</f>
        <v>4549315.250492122</v>
      </c>
    </row>
    <row r="8" spans="2:8">
      <c r="B8" s="316" t="s">
        <v>1177</v>
      </c>
      <c r="C8" s="216">
        <f>'4.3 - Financiación'!L7</f>
        <v>235000</v>
      </c>
      <c r="D8" s="216"/>
      <c r="E8" s="216"/>
      <c r="F8" s="216"/>
      <c r="G8" s="216"/>
      <c r="H8" s="288"/>
    </row>
    <row r="9" spans="2:8">
      <c r="B9" s="316" t="s">
        <v>1178</v>
      </c>
      <c r="C9" s="216">
        <f>'4.3 - Financiación'!O7</f>
        <v>330000</v>
      </c>
      <c r="D9" s="216"/>
      <c r="E9" s="216"/>
      <c r="F9" s="216"/>
      <c r="G9" s="216"/>
      <c r="H9" s="288"/>
    </row>
    <row r="10" spans="2:8">
      <c r="B10" s="314" t="s">
        <v>1179</v>
      </c>
      <c r="C10" s="318">
        <f>SUM(C7:C9)</f>
        <v>565000</v>
      </c>
      <c r="D10" s="318">
        <f t="shared" ref="D10:H10" si="0">SUM(D7:D9)</f>
        <v>292796.4040077221</v>
      </c>
      <c r="E10" s="318">
        <f t="shared" si="0"/>
        <v>1310369.0512915982</v>
      </c>
      <c r="F10" s="318">
        <f t="shared" si="0"/>
        <v>2198157.5151047944</v>
      </c>
      <c r="G10" s="318">
        <f t="shared" si="0"/>
        <v>3269656.1776738288</v>
      </c>
      <c r="H10" s="318">
        <f t="shared" si="0"/>
        <v>4549315.250492122</v>
      </c>
    </row>
    <row r="11" spans="2:8">
      <c r="B11" s="301" t="s">
        <v>1144</v>
      </c>
      <c r="C11" s="212"/>
      <c r="D11" s="212">
        <f>'3.6 - Costos MP'!C38*'3.4 - Plan de fabricacion'!O14</f>
        <v>231845.51680845337</v>
      </c>
      <c r="E11" s="212">
        <f>'3.6 - Costos MP'!C39*'3.4 - Plan de fabricacion'!AB14</f>
        <v>594072.40004342445</v>
      </c>
      <c r="F11" s="212">
        <f>'3.6 - Costos MP'!C40*'3.4 - Plan de fabricacion'!AO14</f>
        <v>1214283.9856887595</v>
      </c>
      <c r="G11" s="212">
        <f>'3.6 - Costos MP'!C41*'3.4 - Plan de fabricacion'!BB14</f>
        <v>1283791.2759040473</v>
      </c>
      <c r="H11" s="286">
        <f>'3.6 - Costos MP'!C42*'3.4 - Plan de fabricacion'!BO14</f>
        <v>1968052.0259609038</v>
      </c>
    </row>
    <row r="12" spans="2:8">
      <c r="B12" s="301" t="s">
        <v>1145</v>
      </c>
      <c r="C12" s="212"/>
      <c r="D12" s="212">
        <f>'3.7 - Costos MOD'!E70</f>
        <v>18658.631477708979</v>
      </c>
      <c r="E12" s="212">
        <f>'3.7 - Costos MOD'!E71</f>
        <v>38138.242740437156</v>
      </c>
      <c r="F12" s="212">
        <f>'3.7 - Costos MOD'!E72</f>
        <v>77954.568161453542</v>
      </c>
      <c r="G12" s="212">
        <f>'3.7 - Costos MOD'!E73</f>
        <v>79669.568661005527</v>
      </c>
      <c r="H12" s="286">
        <f>'3.7 - Costos MOD'!E74</f>
        <v>122133.44875732149</v>
      </c>
    </row>
    <row r="13" spans="2:8">
      <c r="B13" s="301" t="s">
        <v>1146</v>
      </c>
      <c r="C13" s="212"/>
      <c r="D13" s="212">
        <f>'3.8 - Costos CCP '!D12</f>
        <v>44912.78119842973</v>
      </c>
      <c r="E13" s="212">
        <f>'3.8 - Costos CCP '!F12</f>
        <v>86284.845415974414</v>
      </c>
      <c r="F13" s="212">
        <f>'3.8 - Costos CCP '!H12</f>
        <v>96148.787714070495</v>
      </c>
      <c r="G13" s="212">
        <f>'3.8 - Costos CCP '!J12</f>
        <v>98264.06104378005</v>
      </c>
      <c r="H13" s="286">
        <f>'3.8 - Costos CCP '!L12</f>
        <v>144840.13536271825</v>
      </c>
    </row>
    <row r="14" spans="2:8">
      <c r="B14" s="301" t="s">
        <v>1180</v>
      </c>
      <c r="C14" s="212"/>
      <c r="D14" s="212">
        <f>'3.11 - Presupuesto gastos'!D26</f>
        <v>221740.77448730191</v>
      </c>
      <c r="E14" s="212">
        <f>'3.11 - Presupuesto gastos'!F26</f>
        <v>247206.94831055973</v>
      </c>
      <c r="F14" s="212">
        <f>'3.11 - Presupuesto gastos'!H26</f>
        <v>319470.88227776357</v>
      </c>
      <c r="G14" s="212">
        <f>'3.11 - Presupuesto gastos'!J26</f>
        <v>353745.76063315076</v>
      </c>
      <c r="H14" s="286">
        <f>'3.11 - Presupuesto gastos'!L26</f>
        <v>385837.38614512392</v>
      </c>
    </row>
    <row r="15" spans="2:8">
      <c r="B15" s="315" t="s">
        <v>1181</v>
      </c>
      <c r="C15" s="212"/>
      <c r="D15" s="212">
        <v>0</v>
      </c>
      <c r="E15" s="212">
        <f>'3.10 - Inversiones'!C148</f>
        <v>0</v>
      </c>
      <c r="F15" s="212">
        <f>'3.10 - Inversiones'!C149</f>
        <v>123437.06702603493</v>
      </c>
      <c r="G15" s="212">
        <f>'3.10 - Inversiones'!C150</f>
        <v>0</v>
      </c>
      <c r="H15" s="286">
        <f>'3.10 - Inversiones'!C151</f>
        <v>2082.2121270406287</v>
      </c>
    </row>
    <row r="16" spans="2:8">
      <c r="B16" s="315" t="s">
        <v>1182</v>
      </c>
      <c r="C16" s="879"/>
      <c r="D16" s="879">
        <f>'4.3 - Financiación'!$E$72</f>
        <v>393254.28</v>
      </c>
      <c r="E16" s="879">
        <f>'4.3 - Financiación'!$E$84</f>
        <v>60566.879999999983</v>
      </c>
      <c r="F16" s="879">
        <f>'4.3 - Financiación'!$E$96</f>
        <v>60566.879999999983</v>
      </c>
      <c r="G16" s="879">
        <f>'4.3 - Financiación'!$E$108</f>
        <v>60566.879999999983</v>
      </c>
      <c r="H16" s="1165">
        <f>'4.3 - Financiación'!$E$120</f>
        <v>0</v>
      </c>
    </row>
    <row r="17" spans="2:8">
      <c r="B17" s="301" t="s">
        <v>1161</v>
      </c>
      <c r="C17" s="879"/>
      <c r="D17" s="212">
        <f>'4.1 - Cash Flow '!P36</f>
        <v>0</v>
      </c>
      <c r="E17" s="212">
        <f>'4.1 - Cash Flow '!AC36</f>
        <v>0</v>
      </c>
      <c r="F17" s="212">
        <f>'4.1 - Cash Flow '!AP36</f>
        <v>0</v>
      </c>
      <c r="G17" s="212">
        <f>'4.1 - Cash Flow '!BC36</f>
        <v>0</v>
      </c>
      <c r="H17" s="286">
        <f>'4.1 - Cash Flow '!BP36</f>
        <v>0</v>
      </c>
    </row>
    <row r="18" spans="2:8">
      <c r="B18" s="301" t="s">
        <v>1162</v>
      </c>
      <c r="C18" s="212"/>
      <c r="D18" s="212">
        <f>'4.1 - Cash Flow '!P37</f>
        <v>0</v>
      </c>
      <c r="E18" s="212">
        <f>'4.1 - Cash Flow '!AC37</f>
        <v>34177.407257896557</v>
      </c>
      <c r="F18" s="212">
        <f>'4.1 - Cash Flow '!AP37</f>
        <v>0</v>
      </c>
      <c r="G18" s="212">
        <f>'4.1 - Cash Flow '!BC37</f>
        <v>0</v>
      </c>
      <c r="H18" s="286">
        <f>'4.1 - Cash Flow '!BP37</f>
        <v>0</v>
      </c>
    </row>
    <row r="19" spans="2:8">
      <c r="B19" s="301" t="s">
        <v>1163</v>
      </c>
      <c r="C19" s="212"/>
      <c r="D19" s="212">
        <f>'4.1 - Cash Flow '!P38</f>
        <v>0</v>
      </c>
      <c r="E19" s="212">
        <f>'4.1 - Cash Flow '!AC38</f>
        <v>0</v>
      </c>
      <c r="F19" s="212">
        <f>'4.1 - Cash Flow '!AP38</f>
        <v>148683.16916811658</v>
      </c>
      <c r="G19" s="212">
        <f>'4.1 - Cash Flow '!BC38</f>
        <v>341916.0216160944</v>
      </c>
      <c r="H19" s="286">
        <f>'4.1 - Cash Flow '!BP38</f>
        <v>577554.00159409666</v>
      </c>
    </row>
    <row r="20" spans="2:8">
      <c r="B20" s="301" t="s">
        <v>1164</v>
      </c>
      <c r="C20" s="212"/>
      <c r="D20" s="212">
        <f>'4.5 - Estado de resultados'!C14</f>
        <v>4391.9460601158316</v>
      </c>
      <c r="E20" s="212">
        <f>'4.5 - Estado de resultados'!E14</f>
        <v>19655.535769373972</v>
      </c>
      <c r="F20" s="212">
        <f>'4.5 - Estado de resultados'!G14</f>
        <v>32972.362726571911</v>
      </c>
      <c r="G20" s="212">
        <f>'4.5 - Estado de resultados'!I14</f>
        <v>49044.842665107433</v>
      </c>
      <c r="H20" s="286">
        <f>'4.5 - Estado de resultados'!K14</f>
        <v>68239.728757381832</v>
      </c>
    </row>
    <row r="21" spans="2:8" ht="15" thickBot="1">
      <c r="B21" s="317" t="s">
        <v>1183</v>
      </c>
      <c r="C21" s="319">
        <f t="shared" ref="C21:H21" si="1">SUM(C11:C20)</f>
        <v>0</v>
      </c>
      <c r="D21" s="319">
        <f t="shared" si="1"/>
        <v>914803.93003200984</v>
      </c>
      <c r="E21" s="319">
        <f t="shared" si="1"/>
        <v>1080102.2595376661</v>
      </c>
      <c r="F21" s="319">
        <f t="shared" si="1"/>
        <v>2073517.7027627705</v>
      </c>
      <c r="G21" s="319">
        <f t="shared" si="1"/>
        <v>2266998.4105231855</v>
      </c>
      <c r="H21" s="321">
        <f t="shared" si="1"/>
        <v>3268738.9387045861</v>
      </c>
    </row>
    <row r="22" spans="2:8" ht="15" thickBot="1">
      <c r="B22" s="1752"/>
      <c r="C22" s="1753"/>
      <c r="D22" s="1753"/>
      <c r="E22" s="1753"/>
      <c r="F22" s="1753"/>
      <c r="G22" s="1753"/>
      <c r="H22" s="1754"/>
    </row>
    <row r="23" spans="2:8" ht="15" thickBot="1">
      <c r="B23" s="322" t="s">
        <v>1184</v>
      </c>
      <c r="C23" s="323">
        <f t="shared" ref="C23:H23" si="2">C10-C21</f>
        <v>565000</v>
      </c>
      <c r="D23" s="323">
        <f t="shared" si="2"/>
        <v>-622007.5260242878</v>
      </c>
      <c r="E23" s="323">
        <f t="shared" si="2"/>
        <v>230266.79175393214</v>
      </c>
      <c r="F23" s="323">
        <f t="shared" si="2"/>
        <v>124639.81234202394</v>
      </c>
      <c r="G23" s="323">
        <f t="shared" si="2"/>
        <v>1002657.7671506433</v>
      </c>
      <c r="H23" s="324">
        <f t="shared" si="2"/>
        <v>1280576.3117875359</v>
      </c>
    </row>
    <row r="24" spans="2:8" ht="15" thickBot="1">
      <c r="B24" s="153"/>
      <c r="H24" s="135"/>
    </row>
    <row r="25" spans="2:8" ht="15" thickBot="1">
      <c r="B25" s="322" t="s">
        <v>1185</v>
      </c>
      <c r="C25" s="323">
        <f>C23</f>
        <v>565000</v>
      </c>
      <c r="D25" s="323">
        <f>C25+D23</f>
        <v>-57007.526024287799</v>
      </c>
      <c r="E25" s="323">
        <f>D25+E23</f>
        <v>173259.26572964434</v>
      </c>
      <c r="F25" s="323">
        <f>E25+F23</f>
        <v>297899.07807166828</v>
      </c>
      <c r="G25" s="323">
        <f>F25+G23</f>
        <v>1300556.8452223116</v>
      </c>
      <c r="H25" s="324">
        <f>G25+H23</f>
        <v>2581133.1570098475</v>
      </c>
    </row>
  </sheetData>
  <mergeCells count="2">
    <mergeCell ref="B22:H22"/>
    <mergeCell ref="B4:H5"/>
  </mergeCells>
  <hyperlinks>
    <hyperlink ref="C2" location="Indice!A1" display="INDICE" xr:uid="{00000000-0004-0000-1A00-000000000000}"/>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B1:O131"/>
  <sheetViews>
    <sheetView showGridLines="0" topLeftCell="A12" zoomScale="70" zoomScaleNormal="70" zoomScaleSheetLayoutView="50" workbookViewId="0">
      <selection activeCell="D2" sqref="D2"/>
    </sheetView>
  </sheetViews>
  <sheetFormatPr defaultColWidth="8.85546875" defaultRowHeight="14.45"/>
  <cols>
    <col min="1" max="1" width="4.5703125" customWidth="1"/>
    <col min="4" max="4" width="20.85546875" style="252" customWidth="1"/>
    <col min="5" max="5" width="18.85546875" customWidth="1"/>
    <col min="6" max="6" width="18.7109375" customWidth="1"/>
    <col min="7" max="7" width="20.28515625" bestFit="1" customWidth="1"/>
    <col min="8" max="8" width="22.140625" customWidth="1"/>
    <col min="11" max="11" width="27.140625" bestFit="1" customWidth="1"/>
    <col min="12" max="12" width="16.28515625" customWidth="1"/>
    <col min="13" max="13" width="8.28515625" customWidth="1"/>
    <col min="14" max="14" width="31.140625" customWidth="1"/>
    <col min="15" max="15" width="17.140625" customWidth="1"/>
    <col min="16" max="16" width="27.140625" bestFit="1" customWidth="1"/>
    <col min="17" max="17" width="19.42578125" customWidth="1"/>
    <col min="18" max="18" width="15.28515625" bestFit="1" customWidth="1"/>
  </cols>
  <sheetData>
    <row r="1" spans="2:15">
      <c r="D1" s="309"/>
      <c r="E1" s="123"/>
    </row>
    <row r="2" spans="2:15">
      <c r="B2" s="1384" t="s">
        <v>1186</v>
      </c>
      <c r="C2" s="1384"/>
      <c r="D2" s="339" t="s">
        <v>49</v>
      </c>
    </row>
    <row r="3" spans="2:15" ht="15" thickBot="1">
      <c r="C3" s="253"/>
    </row>
    <row r="4" spans="2:15" ht="18.600000000000001" thickBot="1">
      <c r="B4" s="1765" t="s">
        <v>1187</v>
      </c>
      <c r="C4" s="1766"/>
      <c r="D4" s="1766"/>
      <c r="E4" s="1766"/>
      <c r="F4" s="1766"/>
      <c r="G4" s="1766"/>
      <c r="H4" s="1770"/>
    </row>
    <row r="5" spans="2:15" ht="19.899999999999999" customHeight="1" thickBot="1">
      <c r="B5" s="1325" t="s">
        <v>50</v>
      </c>
      <c r="C5" s="1352" t="s">
        <v>1188</v>
      </c>
      <c r="D5" s="1078" t="s">
        <v>1189</v>
      </c>
      <c r="E5" s="1352" t="s">
        <v>1190</v>
      </c>
      <c r="F5" s="1352" t="s">
        <v>1191</v>
      </c>
      <c r="G5" s="1352" t="s">
        <v>1192</v>
      </c>
      <c r="H5" s="1348" t="s">
        <v>1193</v>
      </c>
      <c r="K5" s="1768" t="s">
        <v>1194</v>
      </c>
      <c r="L5" s="1769"/>
      <c r="N5" s="1768" t="s">
        <v>1195</v>
      </c>
      <c r="O5" s="1769"/>
    </row>
    <row r="6" spans="2:15" ht="14.45" customHeight="1">
      <c r="B6" s="1761">
        <v>2024</v>
      </c>
      <c r="C6" s="1329">
        <v>1</v>
      </c>
      <c r="D6" s="1083">
        <v>235000</v>
      </c>
      <c r="E6" s="1084">
        <v>4753.49</v>
      </c>
      <c r="F6" s="1083">
        <v>293.75</v>
      </c>
      <c r="G6" s="1083">
        <v>5047.24</v>
      </c>
      <c r="H6" s="1771">
        <f>SUM(G6:G17)</f>
        <v>60566.879999999983</v>
      </c>
      <c r="K6" s="310" t="s">
        <v>1196</v>
      </c>
      <c r="L6" s="311">
        <f>'3.10 - Inversiones'!C147</f>
        <v>233827.9927680798</v>
      </c>
      <c r="N6" s="310" t="s">
        <v>1197</v>
      </c>
      <c r="O6" s="311">
        <f>ABS('4.1 - Cash Flow '!C45)</f>
        <v>329557.68988127145</v>
      </c>
    </row>
    <row r="7" spans="2:15" ht="14.45" customHeight="1">
      <c r="B7" s="1762"/>
      <c r="C7" s="1307">
        <v>2</v>
      </c>
      <c r="D7" s="1081">
        <v>230246.51</v>
      </c>
      <c r="E7" s="1079">
        <v>4759.43</v>
      </c>
      <c r="F7" s="1080">
        <v>287.81</v>
      </c>
      <c r="G7" s="1080">
        <v>5047.24</v>
      </c>
      <c r="H7" s="1772"/>
      <c r="K7" s="310" t="s">
        <v>1198</v>
      </c>
      <c r="L7" s="311">
        <f>235000</f>
        <v>235000</v>
      </c>
      <c r="N7" s="310" t="s">
        <v>1198</v>
      </c>
      <c r="O7" s="311">
        <v>330000</v>
      </c>
    </row>
    <row r="8" spans="2:15" ht="14.45" customHeight="1">
      <c r="B8" s="1762"/>
      <c r="C8" s="1307">
        <v>3</v>
      </c>
      <c r="D8" s="1081">
        <v>225487.09</v>
      </c>
      <c r="E8" s="1081">
        <v>4765.38</v>
      </c>
      <c r="F8" s="1080">
        <v>281.86</v>
      </c>
      <c r="G8" s="1080">
        <v>5047.24</v>
      </c>
      <c r="H8" s="1772"/>
      <c r="K8" s="310" t="s">
        <v>1199</v>
      </c>
      <c r="L8" s="277" t="s">
        <v>1200</v>
      </c>
      <c r="N8" s="310" t="s">
        <v>1199</v>
      </c>
      <c r="O8" s="277" t="s">
        <v>1200</v>
      </c>
    </row>
    <row r="9" spans="2:15" ht="14.45" customHeight="1">
      <c r="B9" s="1762"/>
      <c r="C9" s="1307">
        <v>4</v>
      </c>
      <c r="D9" s="1081">
        <v>220721.71</v>
      </c>
      <c r="E9" s="1081">
        <v>4771.33</v>
      </c>
      <c r="F9" s="1080">
        <v>275.89999999999998</v>
      </c>
      <c r="G9" s="1080">
        <v>5047.24</v>
      </c>
      <c r="H9" s="1772"/>
      <c r="K9" s="310" t="s">
        <v>1201</v>
      </c>
      <c r="L9" s="277" t="s">
        <v>1202</v>
      </c>
      <c r="N9" s="310" t="s">
        <v>1201</v>
      </c>
      <c r="O9" s="277" t="s">
        <v>1203</v>
      </c>
    </row>
    <row r="10" spans="2:15" ht="14.45" customHeight="1">
      <c r="B10" s="1762"/>
      <c r="C10" s="1307">
        <v>5</v>
      </c>
      <c r="D10" s="1081">
        <v>215950.38</v>
      </c>
      <c r="E10" s="1079">
        <v>4777.3</v>
      </c>
      <c r="F10" s="1080">
        <v>269.94</v>
      </c>
      <c r="G10" s="1080">
        <v>5047.24</v>
      </c>
      <c r="H10" s="1772"/>
      <c r="K10" s="310" t="s">
        <v>1204</v>
      </c>
      <c r="L10" s="320">
        <v>1.4999999999999999E-2</v>
      </c>
      <c r="N10" s="310" t="s">
        <v>1204</v>
      </c>
      <c r="O10" s="320">
        <v>1.4999999999999999E-2</v>
      </c>
    </row>
    <row r="11" spans="2:15" ht="14.45" customHeight="1">
      <c r="B11" s="1762"/>
      <c r="C11" s="1307">
        <v>6</v>
      </c>
      <c r="D11" s="1081">
        <v>211173.08</v>
      </c>
      <c r="E11" s="1081">
        <v>4783.2700000000004</v>
      </c>
      <c r="F11" s="1080">
        <v>263.97000000000003</v>
      </c>
      <c r="G11" s="1080">
        <v>5047.24</v>
      </c>
      <c r="H11" s="1772"/>
    </row>
    <row r="12" spans="2:15" ht="14.45" customHeight="1">
      <c r="B12" s="1762"/>
      <c r="C12" s="1307">
        <v>7</v>
      </c>
      <c r="D12" s="1082">
        <v>206389.81</v>
      </c>
      <c r="E12" s="1082">
        <v>4789.25</v>
      </c>
      <c r="F12" s="1082">
        <v>257.99</v>
      </c>
      <c r="G12" s="1082">
        <v>5047.24</v>
      </c>
      <c r="H12" s="1772"/>
    </row>
    <row r="13" spans="2:15" ht="14.45" customHeight="1">
      <c r="B13" s="1762"/>
      <c r="C13" s="1307">
        <v>8</v>
      </c>
      <c r="D13" s="1082">
        <v>201600.56</v>
      </c>
      <c r="E13" s="1082">
        <v>4795.2299999999996</v>
      </c>
      <c r="F13" s="1082">
        <v>252</v>
      </c>
      <c r="G13" s="1082">
        <v>5047.24</v>
      </c>
      <c r="H13" s="1772"/>
    </row>
    <row r="14" spans="2:15" ht="14.45" customHeight="1">
      <c r="B14" s="1762"/>
      <c r="C14" s="1307">
        <v>9</v>
      </c>
      <c r="D14" s="1082">
        <v>196805.33</v>
      </c>
      <c r="E14" s="1082">
        <v>4801.2299999999996</v>
      </c>
      <c r="F14" s="1082">
        <v>246.01</v>
      </c>
      <c r="G14" s="1082">
        <v>5047.24</v>
      </c>
      <c r="H14" s="1772"/>
    </row>
    <row r="15" spans="2:15" ht="14.45" customHeight="1">
      <c r="B15" s="1762"/>
      <c r="C15" s="1307">
        <v>10</v>
      </c>
      <c r="D15" s="1082">
        <v>192004.1</v>
      </c>
      <c r="E15" s="1082">
        <v>4807.2299999999996</v>
      </c>
      <c r="F15" s="1082">
        <v>240.01</v>
      </c>
      <c r="G15" s="1082">
        <v>5047.24</v>
      </c>
      <c r="H15" s="1772"/>
    </row>
    <row r="16" spans="2:15" ht="14.45" customHeight="1">
      <c r="B16" s="1762"/>
      <c r="C16" s="1307">
        <v>11</v>
      </c>
      <c r="D16" s="1082">
        <v>187196.87</v>
      </c>
      <c r="E16" s="1082">
        <v>4813.24</v>
      </c>
      <c r="F16" s="1082">
        <v>234</v>
      </c>
      <c r="G16" s="1082">
        <v>5047.24</v>
      </c>
      <c r="H16" s="1772"/>
    </row>
    <row r="17" spans="2:8" ht="14.45" customHeight="1" thickBot="1">
      <c r="B17" s="1763"/>
      <c r="C17" s="1308">
        <v>12</v>
      </c>
      <c r="D17" s="1085">
        <v>182383.63</v>
      </c>
      <c r="E17" s="1085">
        <v>4819.26</v>
      </c>
      <c r="F17" s="1085">
        <v>227.98</v>
      </c>
      <c r="G17" s="1085">
        <v>5047.24</v>
      </c>
      <c r="H17" s="1773"/>
    </row>
    <row r="18" spans="2:8">
      <c r="B18" s="1761">
        <v>2025</v>
      </c>
      <c r="C18" s="1329">
        <v>1</v>
      </c>
      <c r="D18" s="1086">
        <v>177564.37</v>
      </c>
      <c r="E18" s="1086">
        <v>4825.28</v>
      </c>
      <c r="F18" s="1086">
        <v>221.96</v>
      </c>
      <c r="G18" s="1086">
        <v>5047.24</v>
      </c>
      <c r="H18" s="1771">
        <f>SUM(G18:G29)</f>
        <v>60566.879999999983</v>
      </c>
    </row>
    <row r="19" spans="2:8">
      <c r="B19" s="1762"/>
      <c r="C19" s="1307">
        <v>2</v>
      </c>
      <c r="D19" s="1082">
        <v>172739.09</v>
      </c>
      <c r="E19" s="1082">
        <v>4831.3100000000004</v>
      </c>
      <c r="F19" s="1082">
        <v>215.92</v>
      </c>
      <c r="G19" s="1082">
        <v>5047.24</v>
      </c>
      <c r="H19" s="1772"/>
    </row>
    <row r="20" spans="2:8">
      <c r="B20" s="1762"/>
      <c r="C20" s="1307">
        <v>3</v>
      </c>
      <c r="D20" s="1082">
        <v>167907.78</v>
      </c>
      <c r="E20" s="1082">
        <v>4837.3500000000004</v>
      </c>
      <c r="F20" s="1082">
        <v>209.88</v>
      </c>
      <c r="G20" s="1082">
        <v>5047.24</v>
      </c>
      <c r="H20" s="1772"/>
    </row>
    <row r="21" spans="2:8">
      <c r="B21" s="1762"/>
      <c r="C21" s="1307">
        <v>4</v>
      </c>
      <c r="D21" s="1082">
        <v>163070.43</v>
      </c>
      <c r="E21" s="1082">
        <v>4843.3999999999996</v>
      </c>
      <c r="F21" s="1082">
        <v>203.84</v>
      </c>
      <c r="G21" s="1082">
        <v>5047.24</v>
      </c>
      <c r="H21" s="1772"/>
    </row>
    <row r="22" spans="2:8">
      <c r="B22" s="1762"/>
      <c r="C22" s="1307">
        <v>5</v>
      </c>
      <c r="D22" s="1082">
        <v>158227.04</v>
      </c>
      <c r="E22" s="1082">
        <v>4849.45</v>
      </c>
      <c r="F22" s="1082">
        <v>197.78</v>
      </c>
      <c r="G22" s="1082">
        <v>5047.24</v>
      </c>
      <c r="H22" s="1772"/>
    </row>
    <row r="23" spans="2:8">
      <c r="B23" s="1762"/>
      <c r="C23" s="1307">
        <v>6</v>
      </c>
      <c r="D23" s="1082">
        <v>153377.57999999999</v>
      </c>
      <c r="E23" s="1082">
        <v>4855.51</v>
      </c>
      <c r="F23" s="1082">
        <v>191.72</v>
      </c>
      <c r="G23" s="1082">
        <v>5047.24</v>
      </c>
      <c r="H23" s="1772"/>
    </row>
    <row r="24" spans="2:8">
      <c r="B24" s="1762"/>
      <c r="C24" s="1307">
        <v>7</v>
      </c>
      <c r="D24" s="1082">
        <v>148522.07</v>
      </c>
      <c r="E24" s="1082">
        <v>4861.58</v>
      </c>
      <c r="F24" s="1082">
        <v>185.65</v>
      </c>
      <c r="G24" s="1082">
        <v>5047.24</v>
      </c>
      <c r="H24" s="1772"/>
    </row>
    <row r="25" spans="2:8">
      <c r="B25" s="1762"/>
      <c r="C25" s="1307">
        <v>8</v>
      </c>
      <c r="D25" s="1082">
        <v>143660.49</v>
      </c>
      <c r="E25" s="1082">
        <v>4867.66</v>
      </c>
      <c r="F25" s="1082">
        <v>179.58</v>
      </c>
      <c r="G25" s="1082">
        <v>5047.24</v>
      </c>
      <c r="H25" s="1772"/>
    </row>
    <row r="26" spans="2:8">
      <c r="B26" s="1762"/>
      <c r="C26" s="1307">
        <v>9</v>
      </c>
      <c r="D26" s="1082">
        <v>138792.82999999999</v>
      </c>
      <c r="E26" s="1082">
        <v>4873.74</v>
      </c>
      <c r="F26" s="1082">
        <v>173.49</v>
      </c>
      <c r="G26" s="1082">
        <v>5047.24</v>
      </c>
      <c r="H26" s="1772"/>
    </row>
    <row r="27" spans="2:8">
      <c r="B27" s="1762"/>
      <c r="C27" s="1307">
        <v>10</v>
      </c>
      <c r="D27" s="1082">
        <v>133919.07999999999</v>
      </c>
      <c r="E27" s="1082">
        <v>4879.84</v>
      </c>
      <c r="F27" s="1082">
        <v>167.4</v>
      </c>
      <c r="G27" s="1082">
        <v>5047.24</v>
      </c>
      <c r="H27" s="1772"/>
    </row>
    <row r="28" spans="2:8">
      <c r="B28" s="1762"/>
      <c r="C28" s="1307">
        <v>11</v>
      </c>
      <c r="D28" s="1082">
        <v>129039.25</v>
      </c>
      <c r="E28" s="1082">
        <v>4885.9399999999996</v>
      </c>
      <c r="F28" s="1082">
        <v>161.30000000000001</v>
      </c>
      <c r="G28" s="1082">
        <v>5047.24</v>
      </c>
      <c r="H28" s="1772"/>
    </row>
    <row r="29" spans="2:8" ht="15" thickBot="1">
      <c r="B29" s="1763"/>
      <c r="C29" s="1308">
        <v>12</v>
      </c>
      <c r="D29" s="1085">
        <v>124153.31</v>
      </c>
      <c r="E29" s="1085">
        <v>4892.04</v>
      </c>
      <c r="F29" s="1085">
        <v>155.19</v>
      </c>
      <c r="G29" s="1085">
        <v>5047.24</v>
      </c>
      <c r="H29" s="1773"/>
    </row>
    <row r="30" spans="2:8">
      <c r="B30" s="1761">
        <v>2026</v>
      </c>
      <c r="C30" s="1329">
        <v>1</v>
      </c>
      <c r="D30" s="1086">
        <v>119261.27</v>
      </c>
      <c r="E30" s="1086">
        <v>4898.16</v>
      </c>
      <c r="F30" s="1086">
        <v>149.08000000000001</v>
      </c>
      <c r="G30" s="1086">
        <v>5047.24</v>
      </c>
      <c r="H30" s="1771">
        <f>SUM(G30:G41)</f>
        <v>60566.879999999983</v>
      </c>
    </row>
    <row r="31" spans="2:8">
      <c r="B31" s="1762"/>
      <c r="C31" s="1307">
        <v>2</v>
      </c>
      <c r="D31" s="1082">
        <v>114363.11</v>
      </c>
      <c r="E31" s="1082">
        <v>4904.28</v>
      </c>
      <c r="F31" s="1082">
        <v>142.94999999999999</v>
      </c>
      <c r="G31" s="1082">
        <v>5047.24</v>
      </c>
      <c r="H31" s="1772"/>
    </row>
    <row r="32" spans="2:8">
      <c r="B32" s="1762"/>
      <c r="C32" s="1307">
        <v>3</v>
      </c>
      <c r="D32" s="1082">
        <v>109458.83</v>
      </c>
      <c r="E32" s="1082">
        <v>4910.41</v>
      </c>
      <c r="F32" s="1082">
        <v>136.82</v>
      </c>
      <c r="G32" s="1082">
        <v>5047.24</v>
      </c>
      <c r="H32" s="1772"/>
    </row>
    <row r="33" spans="2:12">
      <c r="B33" s="1762"/>
      <c r="C33" s="1307">
        <v>4</v>
      </c>
      <c r="D33" s="1082">
        <v>104548.42</v>
      </c>
      <c r="E33" s="1082">
        <v>4916.55</v>
      </c>
      <c r="F33" s="1082">
        <v>130.69</v>
      </c>
      <c r="G33" s="1082">
        <v>5047.24</v>
      </c>
      <c r="H33" s="1772"/>
    </row>
    <row r="34" spans="2:12">
      <c r="B34" s="1762"/>
      <c r="C34" s="1307">
        <v>5</v>
      </c>
      <c r="D34" s="1082">
        <v>99631.87</v>
      </c>
      <c r="E34" s="1082">
        <v>4922.7</v>
      </c>
      <c r="F34" s="1082">
        <v>124.54</v>
      </c>
      <c r="G34" s="1082">
        <v>5047.24</v>
      </c>
      <c r="H34" s="1772"/>
    </row>
    <row r="35" spans="2:12">
      <c r="B35" s="1762"/>
      <c r="C35" s="1307">
        <v>6</v>
      </c>
      <c r="D35" s="1082">
        <v>94709.17</v>
      </c>
      <c r="E35" s="1082">
        <v>4928.8500000000004</v>
      </c>
      <c r="F35" s="1082">
        <v>118.39</v>
      </c>
      <c r="G35" s="1082">
        <v>5047.24</v>
      </c>
      <c r="H35" s="1772"/>
    </row>
    <row r="36" spans="2:12">
      <c r="B36" s="1762"/>
      <c r="C36" s="1307">
        <v>7</v>
      </c>
      <c r="D36" s="1082">
        <v>89780.32</v>
      </c>
      <c r="E36" s="1082">
        <v>4935.01</v>
      </c>
      <c r="F36" s="1082">
        <v>112.23</v>
      </c>
      <c r="G36" s="1082">
        <v>5047.24</v>
      </c>
      <c r="H36" s="1772"/>
    </row>
    <row r="37" spans="2:12" ht="15" thickBot="1">
      <c r="B37" s="1762"/>
      <c r="C37" s="1307">
        <v>8</v>
      </c>
      <c r="D37" s="1082">
        <v>84845.31</v>
      </c>
      <c r="E37" s="1082">
        <v>4941.18</v>
      </c>
      <c r="F37" s="1082">
        <v>106.06</v>
      </c>
      <c r="G37" s="1082">
        <v>5047.24</v>
      </c>
      <c r="H37" s="1772"/>
    </row>
    <row r="38" spans="2:12">
      <c r="B38" s="1762"/>
      <c r="C38" s="1307">
        <v>9</v>
      </c>
      <c r="D38" s="1082">
        <v>79904.13</v>
      </c>
      <c r="E38" s="1082">
        <v>4947.3599999999997</v>
      </c>
      <c r="F38" s="1082">
        <v>99.88</v>
      </c>
      <c r="G38" s="1082">
        <v>5047.24</v>
      </c>
      <c r="H38" s="1772"/>
      <c r="K38" s="1774" t="s">
        <v>1205</v>
      </c>
      <c r="L38" s="1775"/>
    </row>
    <row r="39" spans="2:12" ht="15" thickBot="1">
      <c r="B39" s="1762"/>
      <c r="C39" s="1307">
        <v>10</v>
      </c>
      <c r="D39" s="1082">
        <v>74956.78</v>
      </c>
      <c r="E39" s="1082">
        <v>4953.54</v>
      </c>
      <c r="F39" s="1082">
        <v>93.7</v>
      </c>
      <c r="G39" s="1082">
        <v>5047.24</v>
      </c>
      <c r="H39" s="1772"/>
      <c r="K39" s="271" t="s">
        <v>50</v>
      </c>
      <c r="L39" s="133" t="s">
        <v>1193</v>
      </c>
    </row>
    <row r="40" spans="2:12">
      <c r="B40" s="1762"/>
      <c r="C40" s="1307">
        <v>11</v>
      </c>
      <c r="D40" s="1082">
        <v>70003.240000000005</v>
      </c>
      <c r="E40" s="1082">
        <v>4959.7299999999996</v>
      </c>
      <c r="F40" s="1082">
        <v>87.5</v>
      </c>
      <c r="G40" s="1082">
        <v>5047.24</v>
      </c>
      <c r="H40" s="1772"/>
      <c r="K40" s="261">
        <v>2024</v>
      </c>
      <c r="L40" s="1207">
        <f>E72</f>
        <v>393254.28</v>
      </c>
    </row>
    <row r="41" spans="2:12" ht="15" thickBot="1">
      <c r="B41" s="1763"/>
      <c r="C41" s="1308">
        <v>12</v>
      </c>
      <c r="D41" s="1085">
        <v>65043.51</v>
      </c>
      <c r="E41" s="1085">
        <v>4965.93</v>
      </c>
      <c r="F41" s="1085">
        <v>81.3</v>
      </c>
      <c r="G41" s="1085">
        <v>5047.24</v>
      </c>
      <c r="H41" s="1773"/>
      <c r="K41" s="1359">
        <v>2025</v>
      </c>
      <c r="L41" s="1205">
        <f>E84</f>
        <v>60566.879999999983</v>
      </c>
    </row>
    <row r="42" spans="2:12">
      <c r="B42" s="1761">
        <v>2027</v>
      </c>
      <c r="C42" s="1329">
        <v>1</v>
      </c>
      <c r="D42" s="1086">
        <v>60077.58</v>
      </c>
      <c r="E42" s="1086">
        <v>4972.1400000000003</v>
      </c>
      <c r="F42" s="1086">
        <v>75.099999999999994</v>
      </c>
      <c r="G42" s="1086">
        <v>5047.24</v>
      </c>
      <c r="H42" s="1771">
        <f>SUM(G42:G53)</f>
        <v>60566.879999999983</v>
      </c>
      <c r="K42" s="1359">
        <v>2026</v>
      </c>
      <c r="L42" s="1205">
        <f>E96</f>
        <v>60566.879999999983</v>
      </c>
    </row>
    <row r="43" spans="2:12">
      <c r="B43" s="1762"/>
      <c r="C43" s="1307">
        <v>2</v>
      </c>
      <c r="D43" s="1082">
        <v>55105.440000000002</v>
      </c>
      <c r="E43" s="1082">
        <v>4978.3500000000004</v>
      </c>
      <c r="F43" s="1082">
        <v>68.88</v>
      </c>
      <c r="G43" s="1082">
        <v>5047.24</v>
      </c>
      <c r="H43" s="1772"/>
      <c r="K43" s="1359">
        <v>2027</v>
      </c>
      <c r="L43" s="1205">
        <f>E108</f>
        <v>60566.879999999983</v>
      </c>
    </row>
    <row r="44" spans="2:12" ht="15" thickBot="1">
      <c r="B44" s="1762"/>
      <c r="C44" s="1307">
        <v>3</v>
      </c>
      <c r="D44" s="1082">
        <v>50127.08</v>
      </c>
      <c r="E44" s="1082">
        <v>4984.58</v>
      </c>
      <c r="F44" s="1082">
        <v>62.66</v>
      </c>
      <c r="G44" s="1082">
        <v>5047.24</v>
      </c>
      <c r="H44" s="1772"/>
      <c r="K44" s="1366">
        <v>2028</v>
      </c>
      <c r="L44" s="1206">
        <f>E120</f>
        <v>0</v>
      </c>
    </row>
    <row r="45" spans="2:12">
      <c r="B45" s="1762"/>
      <c r="C45" s="1307">
        <v>4</v>
      </c>
      <c r="D45" s="1082">
        <v>45142.51</v>
      </c>
      <c r="E45" s="1082">
        <v>4990.8100000000004</v>
      </c>
      <c r="F45" s="1082">
        <v>56.43</v>
      </c>
      <c r="G45" s="1082">
        <v>5047.24</v>
      </c>
      <c r="H45" s="1772"/>
    </row>
    <row r="46" spans="2:12">
      <c r="B46" s="1762"/>
      <c r="C46" s="1307">
        <v>5</v>
      </c>
      <c r="D46" s="1082">
        <v>40151.699999999997</v>
      </c>
      <c r="E46" s="1082">
        <v>4997.05</v>
      </c>
      <c r="F46" s="1082">
        <v>50.19</v>
      </c>
      <c r="G46" s="1082">
        <v>5047.24</v>
      </c>
      <c r="H46" s="1772"/>
    </row>
    <row r="47" spans="2:12">
      <c r="B47" s="1762"/>
      <c r="C47" s="1307">
        <v>6</v>
      </c>
      <c r="D47" s="1082">
        <v>35154.65</v>
      </c>
      <c r="E47" s="1082">
        <v>5003.29</v>
      </c>
      <c r="F47" s="1082">
        <v>43.94</v>
      </c>
      <c r="G47" s="1082">
        <v>5047.24</v>
      </c>
      <c r="H47" s="1772"/>
    </row>
    <row r="48" spans="2:12">
      <c r="B48" s="1762"/>
      <c r="C48" s="1307">
        <v>7</v>
      </c>
      <c r="D48" s="1082">
        <v>30151.360000000001</v>
      </c>
      <c r="E48" s="1082">
        <v>5009.55</v>
      </c>
      <c r="F48" s="1082">
        <v>37.69</v>
      </c>
      <c r="G48" s="1082">
        <v>5047.24</v>
      </c>
      <c r="H48" s="1772"/>
    </row>
    <row r="49" spans="2:8">
      <c r="B49" s="1762"/>
      <c r="C49" s="1307">
        <v>8</v>
      </c>
      <c r="D49" s="1082">
        <v>25141.82</v>
      </c>
      <c r="E49" s="1082">
        <v>5015.8100000000004</v>
      </c>
      <c r="F49" s="1082">
        <v>31.43</v>
      </c>
      <c r="G49" s="1082">
        <v>5047.24</v>
      </c>
      <c r="H49" s="1772"/>
    </row>
    <row r="50" spans="2:8">
      <c r="B50" s="1762"/>
      <c r="C50" s="1307">
        <v>9</v>
      </c>
      <c r="D50" s="1082">
        <v>20126.009999999998</v>
      </c>
      <c r="E50" s="1082">
        <v>5022.08</v>
      </c>
      <c r="F50" s="1082">
        <v>25.16</v>
      </c>
      <c r="G50" s="1082">
        <v>5047.24</v>
      </c>
      <c r="H50" s="1772"/>
    </row>
    <row r="51" spans="2:8">
      <c r="B51" s="1762"/>
      <c r="C51" s="1307">
        <v>10</v>
      </c>
      <c r="D51" s="1082">
        <v>15103.93</v>
      </c>
      <c r="E51" s="1082">
        <v>5028.3599999999997</v>
      </c>
      <c r="F51" s="1082">
        <v>18.88</v>
      </c>
      <c r="G51" s="1082">
        <v>5047.24</v>
      </c>
      <c r="H51" s="1772"/>
    </row>
    <row r="52" spans="2:8">
      <c r="B52" s="1762"/>
      <c r="C52" s="1307">
        <v>11</v>
      </c>
      <c r="D52" s="1082">
        <v>10075.58</v>
      </c>
      <c r="E52" s="1082">
        <v>5034.6400000000003</v>
      </c>
      <c r="F52" s="1082">
        <v>12.59</v>
      </c>
      <c r="G52" s="1082">
        <v>5047.24</v>
      </c>
      <c r="H52" s="1772"/>
    </row>
    <row r="53" spans="2:8" ht="15" thickBot="1">
      <c r="B53" s="1763"/>
      <c r="C53" s="1308">
        <v>12</v>
      </c>
      <c r="D53" s="1085">
        <v>5040.93</v>
      </c>
      <c r="E53" s="1085">
        <v>5040.93</v>
      </c>
      <c r="F53" s="1085">
        <v>6.3</v>
      </c>
      <c r="G53" s="1085">
        <v>5047.24</v>
      </c>
      <c r="H53" s="1773"/>
    </row>
    <row r="54" spans="2:8" ht="15" thickBot="1"/>
    <row r="55" spans="2:8" ht="18.600000000000001" thickBot="1">
      <c r="B55" s="1765" t="s">
        <v>1206</v>
      </c>
      <c r="C55" s="1766"/>
      <c r="D55" s="1766"/>
      <c r="E55" s="1766"/>
      <c r="F55" s="1766"/>
      <c r="G55" s="1766"/>
      <c r="H55" s="1770"/>
    </row>
    <row r="56" spans="2:8" ht="15" thickBot="1">
      <c r="B56" s="1325" t="s">
        <v>50</v>
      </c>
      <c r="C56" s="1352" t="s">
        <v>1188</v>
      </c>
      <c r="D56" s="1078" t="s">
        <v>1189</v>
      </c>
      <c r="E56" s="1352" t="s">
        <v>1190</v>
      </c>
      <c r="F56" s="1352" t="s">
        <v>1191</v>
      </c>
      <c r="G56" s="1352" t="s">
        <v>1192</v>
      </c>
      <c r="H56" s="1348" t="s">
        <v>1193</v>
      </c>
    </row>
    <row r="57" spans="2:8">
      <c r="B57" s="1761">
        <v>2024</v>
      </c>
      <c r="C57" s="1329">
        <v>1</v>
      </c>
      <c r="D57" s="1083">
        <v>330000</v>
      </c>
      <c r="E57" s="1084">
        <v>27311.45</v>
      </c>
      <c r="F57" s="1083">
        <v>412.5</v>
      </c>
      <c r="G57" s="1083">
        <v>27723.95</v>
      </c>
      <c r="H57" s="1771">
        <f>SUM(G57:G68)</f>
        <v>332687.40000000008</v>
      </c>
    </row>
    <row r="58" spans="2:8">
      <c r="B58" s="1762"/>
      <c r="C58" s="1307">
        <v>2</v>
      </c>
      <c r="D58" s="1081">
        <v>302688.55</v>
      </c>
      <c r="E58" s="1079">
        <v>27345.59</v>
      </c>
      <c r="F58" s="1080">
        <v>378.36</v>
      </c>
      <c r="G58" s="1080">
        <v>27723.95</v>
      </c>
      <c r="H58" s="1772"/>
    </row>
    <row r="59" spans="2:8">
      <c r="B59" s="1762"/>
      <c r="C59" s="1307">
        <v>3</v>
      </c>
      <c r="D59" s="1081">
        <v>275342.96000000002</v>
      </c>
      <c r="E59" s="1081">
        <v>27379.77</v>
      </c>
      <c r="F59" s="1080">
        <v>344.18</v>
      </c>
      <c r="G59" s="1080">
        <v>27723.95</v>
      </c>
      <c r="H59" s="1772"/>
    </row>
    <row r="60" spans="2:8">
      <c r="B60" s="1762"/>
      <c r="C60" s="1307">
        <v>4</v>
      </c>
      <c r="D60" s="1081">
        <v>247963.19</v>
      </c>
      <c r="E60" s="1081">
        <v>27414</v>
      </c>
      <c r="F60" s="1080">
        <v>309.95</v>
      </c>
      <c r="G60" s="1080">
        <v>27723.95</v>
      </c>
      <c r="H60" s="1772"/>
    </row>
    <row r="61" spans="2:8">
      <c r="B61" s="1762"/>
      <c r="C61" s="1307">
        <v>5</v>
      </c>
      <c r="D61" s="1081">
        <v>220549.2</v>
      </c>
      <c r="E61" s="1079">
        <v>27448.26</v>
      </c>
      <c r="F61" s="1080">
        <v>275.69</v>
      </c>
      <c r="G61" s="1080">
        <v>27723.95</v>
      </c>
      <c r="H61" s="1772"/>
    </row>
    <row r="62" spans="2:8">
      <c r="B62" s="1762"/>
      <c r="C62" s="1307">
        <v>6</v>
      </c>
      <c r="D62" s="1081">
        <v>193100.93</v>
      </c>
      <c r="E62" s="1081">
        <v>27482.57</v>
      </c>
      <c r="F62" s="1080">
        <v>241.38</v>
      </c>
      <c r="G62" s="1080">
        <v>27723.95</v>
      </c>
      <c r="H62" s="1772"/>
    </row>
    <row r="63" spans="2:8">
      <c r="B63" s="1762"/>
      <c r="C63" s="1307">
        <v>7</v>
      </c>
      <c r="D63" s="1082">
        <v>165618.35999999999</v>
      </c>
      <c r="E63" s="1082">
        <v>27516.93</v>
      </c>
      <c r="F63" s="1082">
        <v>207.02</v>
      </c>
      <c r="G63" s="1082">
        <v>27723.95</v>
      </c>
      <c r="H63" s="1772"/>
    </row>
    <row r="64" spans="2:8">
      <c r="B64" s="1762"/>
      <c r="C64" s="1307">
        <v>8</v>
      </c>
      <c r="D64" s="1082">
        <v>138101.43</v>
      </c>
      <c r="E64" s="1082">
        <v>27551.32</v>
      </c>
      <c r="F64" s="1082">
        <v>172.63</v>
      </c>
      <c r="G64" s="1082">
        <v>27723.95</v>
      </c>
      <c r="H64" s="1772"/>
    </row>
    <row r="65" spans="2:8">
      <c r="B65" s="1762"/>
      <c r="C65" s="1307">
        <v>9</v>
      </c>
      <c r="D65" s="1082">
        <v>110550.11</v>
      </c>
      <c r="E65" s="1082">
        <v>27585.759999999998</v>
      </c>
      <c r="F65" s="1082">
        <v>138.19</v>
      </c>
      <c r="G65" s="1082">
        <v>27723.95</v>
      </c>
      <c r="H65" s="1772"/>
    </row>
    <row r="66" spans="2:8">
      <c r="B66" s="1762"/>
      <c r="C66" s="1307">
        <v>10</v>
      </c>
      <c r="D66" s="1082">
        <v>82964.350000000006</v>
      </c>
      <c r="E66" s="1082">
        <v>27620.240000000002</v>
      </c>
      <c r="F66" s="1082">
        <v>103.71</v>
      </c>
      <c r="G66" s="1082">
        <v>27723.95</v>
      </c>
      <c r="H66" s="1772"/>
    </row>
    <row r="67" spans="2:8">
      <c r="B67" s="1762"/>
      <c r="C67" s="1307">
        <v>11</v>
      </c>
      <c r="D67" s="1082">
        <v>55344.11</v>
      </c>
      <c r="E67" s="1082">
        <v>27654.77</v>
      </c>
      <c r="F67" s="1082">
        <v>69.180000000000007</v>
      </c>
      <c r="G67" s="1082">
        <v>27723.95</v>
      </c>
      <c r="H67" s="1772"/>
    </row>
    <row r="68" spans="2:8" ht="15" thickBot="1">
      <c r="B68" s="1763"/>
      <c r="C68" s="1308">
        <v>12</v>
      </c>
      <c r="D68" s="1085">
        <v>27689.34</v>
      </c>
      <c r="E68" s="1085">
        <v>27689.34</v>
      </c>
      <c r="F68" s="1085">
        <v>34.61</v>
      </c>
      <c r="G68" s="1085">
        <v>27723.95</v>
      </c>
      <c r="H68" s="1773"/>
    </row>
    <row r="69" spans="2:8" ht="15" thickBot="1"/>
    <row r="70" spans="2:8" ht="18.600000000000001" thickBot="1">
      <c r="B70" s="1765" t="s">
        <v>1207</v>
      </c>
      <c r="C70" s="1766"/>
      <c r="D70" s="1766"/>
      <c r="E70" s="1766"/>
    </row>
    <row r="71" spans="2:8" ht="15" thickBot="1">
      <c r="B71" s="1325" t="s">
        <v>50</v>
      </c>
      <c r="C71" s="1352" t="s">
        <v>51</v>
      </c>
      <c r="D71" s="1348" t="s">
        <v>1208</v>
      </c>
      <c r="E71" s="1348" t="s">
        <v>1193</v>
      </c>
    </row>
    <row r="72" spans="2:8">
      <c r="B72" s="1761">
        <v>2024</v>
      </c>
      <c r="C72" s="1329">
        <v>1</v>
      </c>
      <c r="D72" s="1163">
        <f>SUM(G6+G57)</f>
        <v>32771.19</v>
      </c>
      <c r="E72" s="1764">
        <f>SUM(D72:D83)</f>
        <v>393254.28</v>
      </c>
    </row>
    <row r="73" spans="2:8">
      <c r="B73" s="1762"/>
      <c r="C73" s="1307">
        <v>2</v>
      </c>
      <c r="D73" s="1162">
        <f t="shared" ref="D73:D82" si="0">SUM(G7+G58)</f>
        <v>32771.19</v>
      </c>
      <c r="E73" s="1404"/>
    </row>
    <row r="74" spans="2:8">
      <c r="B74" s="1762"/>
      <c r="C74" s="1307">
        <v>3</v>
      </c>
      <c r="D74" s="1162">
        <f t="shared" si="0"/>
        <v>32771.19</v>
      </c>
      <c r="E74" s="1404"/>
    </row>
    <row r="75" spans="2:8">
      <c r="B75" s="1762"/>
      <c r="C75" s="1307">
        <v>4</v>
      </c>
      <c r="D75" s="1162">
        <f t="shared" si="0"/>
        <v>32771.19</v>
      </c>
      <c r="E75" s="1404"/>
    </row>
    <row r="76" spans="2:8">
      <c r="B76" s="1762"/>
      <c r="C76" s="1307">
        <v>5</v>
      </c>
      <c r="D76" s="1162">
        <f t="shared" si="0"/>
        <v>32771.19</v>
      </c>
      <c r="E76" s="1404"/>
    </row>
    <row r="77" spans="2:8">
      <c r="B77" s="1762"/>
      <c r="C77" s="1307">
        <v>6</v>
      </c>
      <c r="D77" s="1162">
        <f t="shared" si="0"/>
        <v>32771.19</v>
      </c>
      <c r="E77" s="1404"/>
    </row>
    <row r="78" spans="2:8">
      <c r="B78" s="1762"/>
      <c r="C78" s="1307">
        <v>7</v>
      </c>
      <c r="D78" s="1162">
        <f t="shared" si="0"/>
        <v>32771.19</v>
      </c>
      <c r="E78" s="1404"/>
    </row>
    <row r="79" spans="2:8">
      <c r="B79" s="1762"/>
      <c r="C79" s="1307">
        <v>8</v>
      </c>
      <c r="D79" s="1162">
        <f t="shared" si="0"/>
        <v>32771.19</v>
      </c>
      <c r="E79" s="1404"/>
    </row>
    <row r="80" spans="2:8">
      <c r="B80" s="1762"/>
      <c r="C80" s="1307">
        <v>9</v>
      </c>
      <c r="D80" s="1162">
        <f t="shared" si="0"/>
        <v>32771.19</v>
      </c>
      <c r="E80" s="1404"/>
    </row>
    <row r="81" spans="2:5">
      <c r="B81" s="1762"/>
      <c r="C81" s="1307">
        <v>10</v>
      </c>
      <c r="D81" s="1162">
        <f t="shared" si="0"/>
        <v>32771.19</v>
      </c>
      <c r="E81" s="1404"/>
    </row>
    <row r="82" spans="2:5">
      <c r="B82" s="1762"/>
      <c r="C82" s="1307">
        <v>11</v>
      </c>
      <c r="D82" s="1162">
        <f t="shared" si="0"/>
        <v>32771.19</v>
      </c>
      <c r="E82" s="1404"/>
    </row>
    <row r="83" spans="2:5" ht="15" thickBot="1">
      <c r="B83" s="1763"/>
      <c r="C83" s="1308">
        <v>12</v>
      </c>
      <c r="D83" s="1164">
        <f>SUM(G17+G68)</f>
        <v>32771.19</v>
      </c>
      <c r="E83" s="1405"/>
    </row>
    <row r="84" spans="2:5">
      <c r="B84" s="1761">
        <v>2025</v>
      </c>
      <c r="C84" s="1329">
        <v>1</v>
      </c>
      <c r="D84" s="1163">
        <f>G18</f>
        <v>5047.24</v>
      </c>
      <c r="E84" s="1764">
        <f>SUM(D84:D95)</f>
        <v>60566.879999999983</v>
      </c>
    </row>
    <row r="85" spans="2:5">
      <c r="B85" s="1762"/>
      <c r="C85" s="1307">
        <v>2</v>
      </c>
      <c r="D85" s="1162">
        <f t="shared" ref="D85:D119" si="1">G19</f>
        <v>5047.24</v>
      </c>
      <c r="E85" s="1404"/>
    </row>
    <row r="86" spans="2:5">
      <c r="B86" s="1762"/>
      <c r="C86" s="1307">
        <v>3</v>
      </c>
      <c r="D86" s="1162">
        <f t="shared" si="1"/>
        <v>5047.24</v>
      </c>
      <c r="E86" s="1404"/>
    </row>
    <row r="87" spans="2:5">
      <c r="B87" s="1762"/>
      <c r="C87" s="1307">
        <v>4</v>
      </c>
      <c r="D87" s="1162">
        <f t="shared" si="1"/>
        <v>5047.24</v>
      </c>
      <c r="E87" s="1404"/>
    </row>
    <row r="88" spans="2:5">
      <c r="B88" s="1762"/>
      <c r="C88" s="1307">
        <v>5</v>
      </c>
      <c r="D88" s="1162">
        <f t="shared" si="1"/>
        <v>5047.24</v>
      </c>
      <c r="E88" s="1404"/>
    </row>
    <row r="89" spans="2:5">
      <c r="B89" s="1762"/>
      <c r="C89" s="1307">
        <v>6</v>
      </c>
      <c r="D89" s="1162">
        <f t="shared" si="1"/>
        <v>5047.24</v>
      </c>
      <c r="E89" s="1404"/>
    </row>
    <row r="90" spans="2:5">
      <c r="B90" s="1762"/>
      <c r="C90" s="1307">
        <v>7</v>
      </c>
      <c r="D90" s="1162">
        <f t="shared" si="1"/>
        <v>5047.24</v>
      </c>
      <c r="E90" s="1404"/>
    </row>
    <row r="91" spans="2:5">
      <c r="B91" s="1762"/>
      <c r="C91" s="1307">
        <v>8</v>
      </c>
      <c r="D91" s="1162">
        <f t="shared" si="1"/>
        <v>5047.24</v>
      </c>
      <c r="E91" s="1404"/>
    </row>
    <row r="92" spans="2:5">
      <c r="B92" s="1762"/>
      <c r="C92" s="1307">
        <v>9</v>
      </c>
      <c r="D92" s="1162">
        <f t="shared" si="1"/>
        <v>5047.24</v>
      </c>
      <c r="E92" s="1404"/>
    </row>
    <row r="93" spans="2:5">
      <c r="B93" s="1762"/>
      <c r="C93" s="1307">
        <v>10</v>
      </c>
      <c r="D93" s="1162">
        <f t="shared" si="1"/>
        <v>5047.24</v>
      </c>
      <c r="E93" s="1404"/>
    </row>
    <row r="94" spans="2:5">
      <c r="B94" s="1762"/>
      <c r="C94" s="1307">
        <v>11</v>
      </c>
      <c r="D94" s="1162">
        <f t="shared" si="1"/>
        <v>5047.24</v>
      </c>
      <c r="E94" s="1404"/>
    </row>
    <row r="95" spans="2:5" ht="15" thickBot="1">
      <c r="B95" s="1763"/>
      <c r="C95" s="1308">
        <v>12</v>
      </c>
      <c r="D95" s="1164">
        <f t="shared" si="1"/>
        <v>5047.24</v>
      </c>
      <c r="E95" s="1405"/>
    </row>
    <row r="96" spans="2:5">
      <c r="B96" s="1761">
        <v>2026</v>
      </c>
      <c r="C96" s="1329">
        <v>1</v>
      </c>
      <c r="D96" s="1163">
        <f t="shared" si="1"/>
        <v>5047.24</v>
      </c>
      <c r="E96" s="1764">
        <f>SUM(D96:D107)</f>
        <v>60566.879999999983</v>
      </c>
    </row>
    <row r="97" spans="2:5">
      <c r="B97" s="1762"/>
      <c r="C97" s="1307">
        <v>2</v>
      </c>
      <c r="D97" s="1162">
        <f t="shared" si="1"/>
        <v>5047.24</v>
      </c>
      <c r="E97" s="1404"/>
    </row>
    <row r="98" spans="2:5">
      <c r="B98" s="1762"/>
      <c r="C98" s="1307">
        <v>3</v>
      </c>
      <c r="D98" s="1162">
        <f t="shared" si="1"/>
        <v>5047.24</v>
      </c>
      <c r="E98" s="1404"/>
    </row>
    <row r="99" spans="2:5">
      <c r="B99" s="1762"/>
      <c r="C99" s="1307">
        <v>4</v>
      </c>
      <c r="D99" s="1162">
        <f t="shared" si="1"/>
        <v>5047.24</v>
      </c>
      <c r="E99" s="1404"/>
    </row>
    <row r="100" spans="2:5">
      <c r="B100" s="1762"/>
      <c r="C100" s="1307">
        <v>5</v>
      </c>
      <c r="D100" s="1162">
        <f t="shared" si="1"/>
        <v>5047.24</v>
      </c>
      <c r="E100" s="1404"/>
    </row>
    <row r="101" spans="2:5">
      <c r="B101" s="1762"/>
      <c r="C101" s="1307">
        <v>6</v>
      </c>
      <c r="D101" s="1162">
        <f t="shared" si="1"/>
        <v>5047.24</v>
      </c>
      <c r="E101" s="1404"/>
    </row>
    <row r="102" spans="2:5">
      <c r="B102" s="1762"/>
      <c r="C102" s="1307">
        <v>7</v>
      </c>
      <c r="D102" s="1162">
        <f t="shared" si="1"/>
        <v>5047.24</v>
      </c>
      <c r="E102" s="1404"/>
    </row>
    <row r="103" spans="2:5">
      <c r="B103" s="1762"/>
      <c r="C103" s="1307">
        <v>8</v>
      </c>
      <c r="D103" s="1162">
        <f t="shared" si="1"/>
        <v>5047.24</v>
      </c>
      <c r="E103" s="1404"/>
    </row>
    <row r="104" spans="2:5">
      <c r="B104" s="1762"/>
      <c r="C104" s="1307">
        <v>9</v>
      </c>
      <c r="D104" s="1162">
        <f t="shared" si="1"/>
        <v>5047.24</v>
      </c>
      <c r="E104" s="1404"/>
    </row>
    <row r="105" spans="2:5">
      <c r="B105" s="1762"/>
      <c r="C105" s="1307">
        <v>10</v>
      </c>
      <c r="D105" s="1162">
        <f t="shared" si="1"/>
        <v>5047.24</v>
      </c>
      <c r="E105" s="1404"/>
    </row>
    <row r="106" spans="2:5">
      <c r="B106" s="1762"/>
      <c r="C106" s="1307">
        <v>11</v>
      </c>
      <c r="D106" s="1162">
        <f t="shared" si="1"/>
        <v>5047.24</v>
      </c>
      <c r="E106" s="1404"/>
    </row>
    <row r="107" spans="2:5" ht="15" thickBot="1">
      <c r="B107" s="1763"/>
      <c r="C107" s="1308">
        <v>12</v>
      </c>
      <c r="D107" s="1164">
        <f t="shared" si="1"/>
        <v>5047.24</v>
      </c>
      <c r="E107" s="1405"/>
    </row>
    <row r="108" spans="2:5">
      <c r="B108" s="1761">
        <v>2027</v>
      </c>
      <c r="C108" s="1329">
        <v>1</v>
      </c>
      <c r="D108" s="1163">
        <f t="shared" si="1"/>
        <v>5047.24</v>
      </c>
      <c r="E108" s="1767">
        <f>SUM(D108:D119)</f>
        <v>60566.879999999983</v>
      </c>
    </row>
    <row r="109" spans="2:5">
      <c r="B109" s="1762"/>
      <c r="C109" s="1307">
        <v>2</v>
      </c>
      <c r="D109" s="1162">
        <f t="shared" si="1"/>
        <v>5047.24</v>
      </c>
      <c r="E109" s="1723"/>
    </row>
    <row r="110" spans="2:5">
      <c r="B110" s="1762"/>
      <c r="C110" s="1307">
        <v>3</v>
      </c>
      <c r="D110" s="1162">
        <f t="shared" si="1"/>
        <v>5047.24</v>
      </c>
      <c r="E110" s="1723"/>
    </row>
    <row r="111" spans="2:5">
      <c r="B111" s="1762"/>
      <c r="C111" s="1307">
        <v>4</v>
      </c>
      <c r="D111" s="1162">
        <f t="shared" si="1"/>
        <v>5047.24</v>
      </c>
      <c r="E111" s="1723"/>
    </row>
    <row r="112" spans="2:5">
      <c r="B112" s="1762"/>
      <c r="C112" s="1307">
        <v>5</v>
      </c>
      <c r="D112" s="1162">
        <f t="shared" si="1"/>
        <v>5047.24</v>
      </c>
      <c r="E112" s="1723"/>
    </row>
    <row r="113" spans="2:5">
      <c r="B113" s="1762"/>
      <c r="C113" s="1307">
        <v>6</v>
      </c>
      <c r="D113" s="1162">
        <f t="shared" si="1"/>
        <v>5047.24</v>
      </c>
      <c r="E113" s="1723"/>
    </row>
    <row r="114" spans="2:5">
      <c r="B114" s="1762"/>
      <c r="C114" s="1307">
        <v>7</v>
      </c>
      <c r="D114" s="1162">
        <f t="shared" si="1"/>
        <v>5047.24</v>
      </c>
      <c r="E114" s="1723"/>
    </row>
    <row r="115" spans="2:5">
      <c r="B115" s="1762"/>
      <c r="C115" s="1307">
        <v>8</v>
      </c>
      <c r="D115" s="1162">
        <f t="shared" si="1"/>
        <v>5047.24</v>
      </c>
      <c r="E115" s="1723"/>
    </row>
    <row r="116" spans="2:5">
      <c r="B116" s="1762"/>
      <c r="C116" s="1307">
        <v>9</v>
      </c>
      <c r="D116" s="1162">
        <f t="shared" si="1"/>
        <v>5047.24</v>
      </c>
      <c r="E116" s="1723"/>
    </row>
    <row r="117" spans="2:5">
      <c r="B117" s="1762"/>
      <c r="C117" s="1307">
        <v>10</v>
      </c>
      <c r="D117" s="1162">
        <f t="shared" si="1"/>
        <v>5047.24</v>
      </c>
      <c r="E117" s="1723"/>
    </row>
    <row r="118" spans="2:5">
      <c r="B118" s="1762"/>
      <c r="C118" s="1307">
        <v>11</v>
      </c>
      <c r="D118" s="1162">
        <f t="shared" si="1"/>
        <v>5047.24</v>
      </c>
      <c r="E118" s="1723"/>
    </row>
    <row r="119" spans="2:5" ht="15" thickBot="1">
      <c r="B119" s="1763"/>
      <c r="C119" s="1308">
        <v>12</v>
      </c>
      <c r="D119" s="1164">
        <f t="shared" si="1"/>
        <v>5047.24</v>
      </c>
      <c r="E119" s="1724"/>
    </row>
    <row r="120" spans="2:5">
      <c r="B120" s="1761">
        <v>2028</v>
      </c>
      <c r="C120" s="1329">
        <v>1</v>
      </c>
      <c r="D120" s="1163">
        <v>0</v>
      </c>
      <c r="E120" s="1767">
        <f>SUM(D120:D131)</f>
        <v>0</v>
      </c>
    </row>
    <row r="121" spans="2:5">
      <c r="B121" s="1762"/>
      <c r="C121" s="1307">
        <v>2</v>
      </c>
      <c r="D121" s="1162">
        <v>0</v>
      </c>
      <c r="E121" s="1723"/>
    </row>
    <row r="122" spans="2:5">
      <c r="B122" s="1762"/>
      <c r="C122" s="1307">
        <v>3</v>
      </c>
      <c r="D122" s="1162">
        <v>0</v>
      </c>
      <c r="E122" s="1723"/>
    </row>
    <row r="123" spans="2:5">
      <c r="B123" s="1762"/>
      <c r="C123" s="1307">
        <v>4</v>
      </c>
      <c r="D123" s="1162">
        <v>0</v>
      </c>
      <c r="E123" s="1723"/>
    </row>
    <row r="124" spans="2:5">
      <c r="B124" s="1762"/>
      <c r="C124" s="1307">
        <v>5</v>
      </c>
      <c r="D124" s="1162">
        <v>0</v>
      </c>
      <c r="E124" s="1723"/>
    </row>
    <row r="125" spans="2:5">
      <c r="B125" s="1762"/>
      <c r="C125" s="1307">
        <v>6</v>
      </c>
      <c r="D125" s="1162">
        <v>0</v>
      </c>
      <c r="E125" s="1723"/>
    </row>
    <row r="126" spans="2:5">
      <c r="B126" s="1762"/>
      <c r="C126" s="1307">
        <v>7</v>
      </c>
      <c r="D126" s="1162">
        <v>0</v>
      </c>
      <c r="E126" s="1723"/>
    </row>
    <row r="127" spans="2:5">
      <c r="B127" s="1762"/>
      <c r="C127" s="1307">
        <v>8</v>
      </c>
      <c r="D127" s="1162">
        <v>0</v>
      </c>
      <c r="E127" s="1723"/>
    </row>
    <row r="128" spans="2:5">
      <c r="B128" s="1762"/>
      <c r="C128" s="1307">
        <v>9</v>
      </c>
      <c r="D128" s="1162">
        <v>0</v>
      </c>
      <c r="E128" s="1723"/>
    </row>
    <row r="129" spans="2:5">
      <c r="B129" s="1762"/>
      <c r="C129" s="1307">
        <v>10</v>
      </c>
      <c r="D129" s="1162">
        <v>0</v>
      </c>
      <c r="E129" s="1723"/>
    </row>
    <row r="130" spans="2:5">
      <c r="B130" s="1762"/>
      <c r="C130" s="1307">
        <v>11</v>
      </c>
      <c r="D130" s="1162">
        <v>0</v>
      </c>
      <c r="E130" s="1723"/>
    </row>
    <row r="131" spans="2:5" ht="15" thickBot="1">
      <c r="B131" s="1763"/>
      <c r="C131" s="1308">
        <v>12</v>
      </c>
      <c r="D131" s="1164">
        <v>0</v>
      </c>
      <c r="E131" s="1724"/>
    </row>
  </sheetData>
  <mergeCells count="27">
    <mergeCell ref="B2:C2"/>
    <mergeCell ref="B6:B17"/>
    <mergeCell ref="H6:H17"/>
    <mergeCell ref="B18:B29"/>
    <mergeCell ref="B30:B41"/>
    <mergeCell ref="H18:H29"/>
    <mergeCell ref="H30:H41"/>
    <mergeCell ref="N5:O5"/>
    <mergeCell ref="B4:H4"/>
    <mergeCell ref="K5:L5"/>
    <mergeCell ref="B57:B68"/>
    <mergeCell ref="H57:H68"/>
    <mergeCell ref="B42:B53"/>
    <mergeCell ref="H42:H53"/>
    <mergeCell ref="B55:H55"/>
    <mergeCell ref="K38:L38"/>
    <mergeCell ref="B120:B131"/>
    <mergeCell ref="E72:E83"/>
    <mergeCell ref="E84:E95"/>
    <mergeCell ref="E96:E107"/>
    <mergeCell ref="B70:E70"/>
    <mergeCell ref="E108:E119"/>
    <mergeCell ref="E120:E131"/>
    <mergeCell ref="B72:B83"/>
    <mergeCell ref="B84:B95"/>
    <mergeCell ref="B96:B107"/>
    <mergeCell ref="B108:B119"/>
  </mergeCells>
  <hyperlinks>
    <hyperlink ref="D2" location="Indice!A1" display="INDICE" xr:uid="{00000000-0004-0000-1B00-000000000000}"/>
  </hyperlinks>
  <pageMargins left="0.7" right="0.7" top="0.75" bottom="0.75" header="0.3" footer="0.3"/>
  <pageSetup paperSize="9"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92D050"/>
  </sheetPr>
  <dimension ref="B2:R84"/>
  <sheetViews>
    <sheetView showGridLines="0" topLeftCell="A42" zoomScale="70" zoomScaleNormal="70" workbookViewId="0">
      <selection activeCell="A20" sqref="A20"/>
    </sheetView>
  </sheetViews>
  <sheetFormatPr defaultColWidth="8.85546875" defaultRowHeight="14.45"/>
  <cols>
    <col min="1" max="1" width="3" customWidth="1"/>
    <col min="2" max="2" width="38.85546875" bestFit="1" customWidth="1"/>
    <col min="3" max="4" width="16.140625" customWidth="1"/>
    <col min="5" max="5" width="23.7109375" customWidth="1"/>
    <col min="6" max="7" width="19.42578125" customWidth="1"/>
    <col min="8" max="10" width="18.7109375" customWidth="1"/>
    <col min="11" max="12" width="16.7109375" customWidth="1"/>
    <col min="18" max="18" width="16.42578125" bestFit="1" customWidth="1"/>
  </cols>
  <sheetData>
    <row r="2" spans="2:12">
      <c r="B2" s="1305" t="s">
        <v>126</v>
      </c>
      <c r="C2" s="337" t="s">
        <v>49</v>
      </c>
    </row>
    <row r="3" spans="2:12" ht="15" thickBot="1"/>
    <row r="4" spans="2:12" ht="15" thickBot="1">
      <c r="B4" s="255"/>
      <c r="H4" s="1679" t="s">
        <v>1209</v>
      </c>
      <c r="I4" s="1436"/>
      <c r="J4" s="1436"/>
      <c r="K4" s="1436"/>
      <c r="L4" s="1437"/>
    </row>
    <row r="5" spans="2:12" ht="19.899999999999999" customHeight="1" thickBot="1">
      <c r="B5" s="1341" t="s">
        <v>1210</v>
      </c>
      <c r="C5" s="1342" t="s">
        <v>1211</v>
      </c>
      <c r="D5" s="1342" t="s">
        <v>1212</v>
      </c>
      <c r="E5" s="1342" t="s">
        <v>1213</v>
      </c>
      <c r="F5" s="1342" t="s">
        <v>1214</v>
      </c>
      <c r="G5" s="305" t="s">
        <v>1215</v>
      </c>
      <c r="H5" s="1350">
        <v>2024</v>
      </c>
      <c r="I5" s="1323">
        <v>2025</v>
      </c>
      <c r="J5" s="1323">
        <v>2026</v>
      </c>
      <c r="K5" s="1323">
        <v>2027</v>
      </c>
      <c r="L5" s="1351">
        <v>2028</v>
      </c>
    </row>
    <row r="6" spans="2:12">
      <c r="B6" s="143" t="str">
        <f>'3.10 - Inversiones'!B47</f>
        <v>Inyectora de plastico</v>
      </c>
      <c r="C6" s="1329">
        <v>10</v>
      </c>
      <c r="D6" s="75">
        <f>1/C6</f>
        <v>0.1</v>
      </c>
      <c r="E6" s="984">
        <f>'3.10 - Inversiones'!G47</f>
        <v>72463.840399002496</v>
      </c>
      <c r="F6" s="984">
        <f>E6*D6</f>
        <v>7246.3840399002502</v>
      </c>
      <c r="G6" s="985">
        <v>2024</v>
      </c>
      <c r="H6" s="988">
        <f t="shared" ref="H6:H42" si="0">IF(G6&lt;=$H$5,F6,0)</f>
        <v>7246.3840399002502</v>
      </c>
      <c r="I6" s="794">
        <f t="shared" ref="I6:I42" si="1">IF(G6&lt;=$I$5,F6,0)</f>
        <v>7246.3840399002502</v>
      </c>
      <c r="J6" s="794">
        <f t="shared" ref="J6:J42" si="2">IF(G6&lt;=$J$5,F6,0)</f>
        <v>7246.3840399002502</v>
      </c>
      <c r="K6" s="794">
        <f t="shared" ref="K6:K42" si="3">IF(G6&lt;=$K$5,F6,0)</f>
        <v>7246.3840399002502</v>
      </c>
      <c r="L6" s="989">
        <f t="shared" ref="L6:L42" si="4">IF(G6&lt;=$L$5,F6,0)</f>
        <v>7246.3840399002502</v>
      </c>
    </row>
    <row r="7" spans="2:12">
      <c r="B7" s="144" t="str">
        <f>'3.10 - Inversiones'!B48</f>
        <v>Matriz Alivianadores</v>
      </c>
      <c r="C7" s="1307">
        <v>10</v>
      </c>
      <c r="D7" s="73">
        <f t="shared" ref="D7:D77" si="5">1/C7</f>
        <v>0.1</v>
      </c>
      <c r="E7" s="259">
        <f>'3.10 - Inversiones'!G48</f>
        <v>15261.845386533665</v>
      </c>
      <c r="F7" s="259">
        <f t="shared" ref="F7:F75" si="6">E7*D7</f>
        <v>1526.1845386533666</v>
      </c>
      <c r="G7" s="986">
        <v>2024</v>
      </c>
      <c r="H7" s="306">
        <f t="shared" si="0"/>
        <v>1526.1845386533666</v>
      </c>
      <c r="I7" s="216">
        <f t="shared" si="1"/>
        <v>1526.1845386533666</v>
      </c>
      <c r="J7" s="216">
        <f t="shared" si="2"/>
        <v>1526.1845386533666</v>
      </c>
      <c r="K7" s="216">
        <f t="shared" si="3"/>
        <v>1526.1845386533666</v>
      </c>
      <c r="L7" s="288">
        <f t="shared" si="4"/>
        <v>1526.1845386533666</v>
      </c>
    </row>
    <row r="8" spans="2:12">
      <c r="B8" s="144" t="str">
        <f>'3.10 - Inversiones'!B49</f>
        <v>Cargador de tolva</v>
      </c>
      <c r="C8" s="1307">
        <v>10</v>
      </c>
      <c r="D8" s="73">
        <f t="shared" si="5"/>
        <v>0.1</v>
      </c>
      <c r="E8" s="259">
        <f>'3.10 - Inversiones'!G49</f>
        <v>7795.5112219451375</v>
      </c>
      <c r="F8" s="259">
        <f t="shared" si="6"/>
        <v>779.55112219451382</v>
      </c>
      <c r="G8" s="986">
        <v>2024</v>
      </c>
      <c r="H8" s="306">
        <f t="shared" si="0"/>
        <v>779.55112219451382</v>
      </c>
      <c r="I8" s="216">
        <f t="shared" si="1"/>
        <v>779.55112219451382</v>
      </c>
      <c r="J8" s="216">
        <f t="shared" si="2"/>
        <v>779.55112219451382</v>
      </c>
      <c r="K8" s="216">
        <f t="shared" si="3"/>
        <v>779.55112219451382</v>
      </c>
      <c r="L8" s="288">
        <f t="shared" si="4"/>
        <v>779.55112219451382</v>
      </c>
    </row>
    <row r="9" spans="2:12">
      <c r="B9" s="144" t="str">
        <f>'3.10 - Inversiones'!B50</f>
        <v>Dosificador de masterbatch</v>
      </c>
      <c r="C9" s="1307">
        <v>10</v>
      </c>
      <c r="D9" s="73">
        <f t="shared" si="5"/>
        <v>0.1</v>
      </c>
      <c r="E9" s="259">
        <f>'3.10 - Inversiones'!G50</f>
        <v>4940.0498753117208</v>
      </c>
      <c r="F9" s="259">
        <f t="shared" si="6"/>
        <v>494.00498753117211</v>
      </c>
      <c r="G9" s="986">
        <v>2024</v>
      </c>
      <c r="H9" s="306">
        <f t="shared" si="0"/>
        <v>494.00498753117211</v>
      </c>
      <c r="I9" s="216">
        <f t="shared" si="1"/>
        <v>494.00498753117211</v>
      </c>
      <c r="J9" s="216">
        <f t="shared" si="2"/>
        <v>494.00498753117211</v>
      </c>
      <c r="K9" s="216">
        <f t="shared" si="3"/>
        <v>494.00498753117211</v>
      </c>
      <c r="L9" s="288">
        <f t="shared" si="4"/>
        <v>494.00498753117211</v>
      </c>
    </row>
    <row r="10" spans="2:12">
      <c r="B10" s="144" t="str">
        <f>'3.10 - Inversiones'!B51</f>
        <v>Carro envolvedor manual</v>
      </c>
      <c r="C10" s="1307">
        <v>10</v>
      </c>
      <c r="D10" s="73">
        <f t="shared" si="5"/>
        <v>0.1</v>
      </c>
      <c r="E10" s="259">
        <f>'3.10 - Inversiones'!G51</f>
        <v>1147.1321695760598</v>
      </c>
      <c r="F10" s="259">
        <f t="shared" si="6"/>
        <v>114.71321695760599</v>
      </c>
      <c r="G10" s="986">
        <v>2024</v>
      </c>
      <c r="H10" s="306">
        <f t="shared" si="0"/>
        <v>114.71321695760599</v>
      </c>
      <c r="I10" s="216">
        <f t="shared" si="1"/>
        <v>114.71321695760599</v>
      </c>
      <c r="J10" s="216">
        <f t="shared" si="2"/>
        <v>114.71321695760599</v>
      </c>
      <c r="K10" s="216">
        <f t="shared" si="3"/>
        <v>114.71321695760599</v>
      </c>
      <c r="L10" s="288">
        <f t="shared" si="4"/>
        <v>114.71321695760599</v>
      </c>
    </row>
    <row r="11" spans="2:12">
      <c r="B11" s="144" t="str">
        <f>'3.10 - Inversiones'!B52</f>
        <v>Mesa de trabajo</v>
      </c>
      <c r="C11" s="1307">
        <v>10</v>
      </c>
      <c r="D11" s="73">
        <f t="shared" si="5"/>
        <v>0.1</v>
      </c>
      <c r="E11" s="259">
        <f>'3.10 - Inversiones'!G52</f>
        <v>1047.3815461346633</v>
      </c>
      <c r="F11" s="259">
        <f t="shared" si="6"/>
        <v>104.73815461346634</v>
      </c>
      <c r="G11" s="986">
        <v>2024</v>
      </c>
      <c r="H11" s="306">
        <f t="shared" si="0"/>
        <v>104.73815461346634</v>
      </c>
      <c r="I11" s="216">
        <f t="shared" si="1"/>
        <v>104.73815461346634</v>
      </c>
      <c r="J11" s="216">
        <f t="shared" si="2"/>
        <v>104.73815461346634</v>
      </c>
      <c r="K11" s="216">
        <f t="shared" si="3"/>
        <v>104.73815461346634</v>
      </c>
      <c r="L11" s="288">
        <f t="shared" si="4"/>
        <v>104.73815461346634</v>
      </c>
    </row>
    <row r="12" spans="2:12">
      <c r="B12" s="144" t="str">
        <f>'3.10 - Inversiones'!B53</f>
        <v>Mesa carro porta herramientas</v>
      </c>
      <c r="C12" s="1307">
        <v>10</v>
      </c>
      <c r="D12" s="73">
        <f t="shared" si="5"/>
        <v>0.1</v>
      </c>
      <c r="E12" s="259">
        <f>'3.10 - Inversiones'!G53</f>
        <v>115.71072319201996</v>
      </c>
      <c r="F12" s="259">
        <f t="shared" si="6"/>
        <v>11.571072319201996</v>
      </c>
      <c r="G12" s="986">
        <v>2024</v>
      </c>
      <c r="H12" s="306">
        <f t="shared" si="0"/>
        <v>11.571072319201996</v>
      </c>
      <c r="I12" s="216">
        <f t="shared" si="1"/>
        <v>11.571072319201996</v>
      </c>
      <c r="J12" s="216">
        <f t="shared" si="2"/>
        <v>11.571072319201996</v>
      </c>
      <c r="K12" s="216">
        <f t="shared" si="3"/>
        <v>11.571072319201996</v>
      </c>
      <c r="L12" s="288">
        <f t="shared" si="4"/>
        <v>11.571072319201996</v>
      </c>
    </row>
    <row r="13" spans="2:12">
      <c r="B13" s="144" t="str">
        <f>'3.10 - Inversiones'!B54</f>
        <v>Kit de destornilladores</v>
      </c>
      <c r="C13" s="1307">
        <v>10</v>
      </c>
      <c r="D13" s="73">
        <f t="shared" si="5"/>
        <v>0.1</v>
      </c>
      <c r="E13" s="259">
        <f>'3.10 - Inversiones'!G54</f>
        <v>80.798004987531172</v>
      </c>
      <c r="F13" s="259">
        <f t="shared" si="6"/>
        <v>8.0798004987531176</v>
      </c>
      <c r="G13" s="986">
        <v>2024</v>
      </c>
      <c r="H13" s="306">
        <f t="shared" si="0"/>
        <v>8.0798004987531176</v>
      </c>
      <c r="I13" s="216">
        <f t="shared" si="1"/>
        <v>8.0798004987531176</v>
      </c>
      <c r="J13" s="216">
        <f t="shared" si="2"/>
        <v>8.0798004987531176</v>
      </c>
      <c r="K13" s="216">
        <f t="shared" si="3"/>
        <v>8.0798004987531176</v>
      </c>
      <c r="L13" s="288">
        <f t="shared" si="4"/>
        <v>8.0798004987531176</v>
      </c>
    </row>
    <row r="14" spans="2:12">
      <c r="B14" s="144" t="str">
        <f>'3.10 - Inversiones'!B55</f>
        <v>Kit de llaves combinadas</v>
      </c>
      <c r="C14" s="1307">
        <v>10</v>
      </c>
      <c r="D14" s="73">
        <f t="shared" si="5"/>
        <v>0.1</v>
      </c>
      <c r="E14" s="259">
        <f>'3.10 - Inversiones'!G55</f>
        <v>17.955112219451372</v>
      </c>
      <c r="F14" s="259">
        <f t="shared" si="6"/>
        <v>1.7955112219451372</v>
      </c>
      <c r="G14" s="986">
        <v>2024</v>
      </c>
      <c r="H14" s="306">
        <f t="shared" si="0"/>
        <v>1.7955112219451372</v>
      </c>
      <c r="I14" s="216">
        <f t="shared" si="1"/>
        <v>1.7955112219451372</v>
      </c>
      <c r="J14" s="216">
        <f t="shared" si="2"/>
        <v>1.7955112219451372</v>
      </c>
      <c r="K14" s="216">
        <f t="shared" si="3"/>
        <v>1.7955112219451372</v>
      </c>
      <c r="L14" s="288">
        <f t="shared" si="4"/>
        <v>1.7955112219451372</v>
      </c>
    </row>
    <row r="15" spans="2:12">
      <c r="B15" s="144" t="str">
        <f>'3.10 - Inversiones'!B56</f>
        <v xml:space="preserve">Kit de llaves tubos </v>
      </c>
      <c r="C15" s="1307">
        <v>10</v>
      </c>
      <c r="D15" s="73">
        <f t="shared" si="5"/>
        <v>0.1</v>
      </c>
      <c r="E15" s="259">
        <f>'3.10 - Inversiones'!G56</f>
        <v>215.46134663341647</v>
      </c>
      <c r="F15" s="259">
        <f t="shared" si="6"/>
        <v>21.546134663341647</v>
      </c>
      <c r="G15" s="986">
        <v>2024</v>
      </c>
      <c r="H15" s="306">
        <f t="shared" si="0"/>
        <v>21.546134663341647</v>
      </c>
      <c r="I15" s="216">
        <f t="shared" si="1"/>
        <v>21.546134663341647</v>
      </c>
      <c r="J15" s="216">
        <f t="shared" si="2"/>
        <v>21.546134663341647</v>
      </c>
      <c r="K15" s="216">
        <f t="shared" si="3"/>
        <v>21.546134663341647</v>
      </c>
      <c r="L15" s="288">
        <f t="shared" si="4"/>
        <v>21.546134663341647</v>
      </c>
    </row>
    <row r="16" spans="2:12">
      <c r="B16" s="144" t="str">
        <f>'3.10 - Inversiones'!B57</f>
        <v>Taladro - atornillador</v>
      </c>
      <c r="C16" s="1307">
        <v>10</v>
      </c>
      <c r="D16" s="73">
        <f t="shared" si="5"/>
        <v>0.1</v>
      </c>
      <c r="E16" s="259">
        <f>'3.10 - Inversiones'!G57</f>
        <v>307.23192019950125</v>
      </c>
      <c r="F16" s="259">
        <f t="shared" si="6"/>
        <v>30.723192019950126</v>
      </c>
      <c r="G16" s="986">
        <v>2024</v>
      </c>
      <c r="H16" s="306">
        <f t="shared" si="0"/>
        <v>30.723192019950126</v>
      </c>
      <c r="I16" s="216">
        <f t="shared" si="1"/>
        <v>30.723192019950126</v>
      </c>
      <c r="J16" s="216">
        <f t="shared" si="2"/>
        <v>30.723192019950126</v>
      </c>
      <c r="K16" s="216">
        <f t="shared" si="3"/>
        <v>30.723192019950126</v>
      </c>
      <c r="L16" s="288">
        <f t="shared" si="4"/>
        <v>30.723192019950126</v>
      </c>
    </row>
    <row r="17" spans="2:12">
      <c r="B17" s="144" t="str">
        <f>'3.10 - Inversiones'!B58</f>
        <v>Amoladora</v>
      </c>
      <c r="C17" s="1307">
        <v>10</v>
      </c>
      <c r="D17" s="73">
        <f t="shared" si="5"/>
        <v>0.1</v>
      </c>
      <c r="E17" s="259">
        <f>'3.10 - Inversiones'!G58</f>
        <v>48.877805486284288</v>
      </c>
      <c r="F17" s="259">
        <f t="shared" si="6"/>
        <v>4.8877805486284291</v>
      </c>
      <c r="G17" s="986">
        <v>2024</v>
      </c>
      <c r="H17" s="306">
        <f t="shared" si="0"/>
        <v>4.8877805486284291</v>
      </c>
      <c r="I17" s="216">
        <f t="shared" si="1"/>
        <v>4.8877805486284291</v>
      </c>
      <c r="J17" s="216">
        <f t="shared" si="2"/>
        <v>4.8877805486284291</v>
      </c>
      <c r="K17" s="216">
        <f t="shared" si="3"/>
        <v>4.8877805486284291</v>
      </c>
      <c r="L17" s="288">
        <f t="shared" si="4"/>
        <v>4.8877805486284291</v>
      </c>
    </row>
    <row r="18" spans="2:12">
      <c r="B18" s="144" t="str">
        <f>'3.10 - Inversiones'!B59</f>
        <v>Soldadora</v>
      </c>
      <c r="C18" s="1307">
        <v>10</v>
      </c>
      <c r="D18" s="73">
        <f t="shared" si="5"/>
        <v>0.1</v>
      </c>
      <c r="E18" s="259">
        <f>'3.10 - Inversiones'!G59</f>
        <v>487.7805486284289</v>
      </c>
      <c r="F18" s="259">
        <f t="shared" si="6"/>
        <v>48.778054862842893</v>
      </c>
      <c r="G18" s="986">
        <v>2024</v>
      </c>
      <c r="H18" s="306">
        <f t="shared" si="0"/>
        <v>48.778054862842893</v>
      </c>
      <c r="I18" s="216">
        <f t="shared" si="1"/>
        <v>48.778054862842893</v>
      </c>
      <c r="J18" s="216">
        <f t="shared" si="2"/>
        <v>48.778054862842893</v>
      </c>
      <c r="K18" s="216">
        <f t="shared" si="3"/>
        <v>48.778054862842893</v>
      </c>
      <c r="L18" s="288">
        <f t="shared" si="4"/>
        <v>48.778054862842893</v>
      </c>
    </row>
    <row r="19" spans="2:12">
      <c r="B19" s="144" t="str">
        <f>'3.10 - Inversiones'!B60</f>
        <v>Set de herramientas</v>
      </c>
      <c r="C19" s="1307">
        <v>10</v>
      </c>
      <c r="D19" s="73">
        <f t="shared" si="5"/>
        <v>0.1</v>
      </c>
      <c r="E19" s="259">
        <f>'3.10 - Inversiones'!G60</f>
        <v>35.910224438902745</v>
      </c>
      <c r="F19" s="259">
        <f t="shared" si="6"/>
        <v>3.5910224438902745</v>
      </c>
      <c r="G19" s="986">
        <v>2024</v>
      </c>
      <c r="H19" s="306">
        <f t="shared" si="0"/>
        <v>3.5910224438902745</v>
      </c>
      <c r="I19" s="216">
        <f t="shared" si="1"/>
        <v>3.5910224438902745</v>
      </c>
      <c r="J19" s="216">
        <f t="shared" si="2"/>
        <v>3.5910224438902745</v>
      </c>
      <c r="K19" s="216">
        <f t="shared" si="3"/>
        <v>3.5910224438902745</v>
      </c>
      <c r="L19" s="288">
        <f t="shared" si="4"/>
        <v>3.5910224438902745</v>
      </c>
    </row>
    <row r="20" spans="2:12">
      <c r="B20" s="144" t="str">
        <f>'3.10 - Inversiones'!B61</f>
        <v>Flejeadora para embalado</v>
      </c>
      <c r="C20" s="1307">
        <v>10</v>
      </c>
      <c r="D20" s="73">
        <f t="shared" si="5"/>
        <v>0.1</v>
      </c>
      <c r="E20" s="259">
        <f>'3.10 - Inversiones'!G61</f>
        <v>79.800498753117211</v>
      </c>
      <c r="F20" s="259">
        <f t="shared" si="6"/>
        <v>7.9800498753117211</v>
      </c>
      <c r="G20" s="986">
        <v>2024</v>
      </c>
      <c r="H20" s="306">
        <f t="shared" si="0"/>
        <v>7.9800498753117211</v>
      </c>
      <c r="I20" s="216">
        <f t="shared" si="1"/>
        <v>7.9800498753117211</v>
      </c>
      <c r="J20" s="216">
        <f t="shared" si="2"/>
        <v>7.9800498753117211</v>
      </c>
      <c r="K20" s="216">
        <f t="shared" si="3"/>
        <v>7.9800498753117211</v>
      </c>
      <c r="L20" s="288">
        <f t="shared" si="4"/>
        <v>7.9800498753117211</v>
      </c>
    </row>
    <row r="21" spans="2:12">
      <c r="B21" s="144" t="str">
        <f>'3.10 - Inversiones'!B62</f>
        <v>Calibre digital</v>
      </c>
      <c r="C21" s="1307">
        <v>10</v>
      </c>
      <c r="D21" s="73">
        <f t="shared" si="5"/>
        <v>0.1</v>
      </c>
      <c r="E21" s="259">
        <f>'3.10 - Inversiones'!G62</f>
        <v>64.039900249376558</v>
      </c>
      <c r="F21" s="259">
        <f t="shared" si="6"/>
        <v>6.4039900249376558</v>
      </c>
      <c r="G21" s="986">
        <v>2024</v>
      </c>
      <c r="H21" s="306">
        <f t="shared" si="0"/>
        <v>6.4039900249376558</v>
      </c>
      <c r="I21" s="216">
        <f t="shared" si="1"/>
        <v>6.4039900249376558</v>
      </c>
      <c r="J21" s="216">
        <f t="shared" si="2"/>
        <v>6.4039900249376558</v>
      </c>
      <c r="K21" s="216">
        <f t="shared" si="3"/>
        <v>6.4039900249376558</v>
      </c>
      <c r="L21" s="288">
        <f t="shared" si="4"/>
        <v>6.4039900249376558</v>
      </c>
    </row>
    <row r="22" spans="2:12">
      <c r="B22" s="144" t="str">
        <f>'3.10 - Inversiones'!B63</f>
        <v xml:space="preserve">Apilador retractil </v>
      </c>
      <c r="C22" s="1307">
        <v>10</v>
      </c>
      <c r="D22" s="73">
        <f t="shared" si="5"/>
        <v>0.1</v>
      </c>
      <c r="E22" s="259">
        <f>'3.10 - Inversiones'!G63</f>
        <v>18314.214463840399</v>
      </c>
      <c r="F22" s="259">
        <f t="shared" si="6"/>
        <v>1831.4214463840399</v>
      </c>
      <c r="G22" s="986">
        <v>2024</v>
      </c>
      <c r="H22" s="306">
        <f t="shared" si="0"/>
        <v>1831.4214463840399</v>
      </c>
      <c r="I22" s="216">
        <f t="shared" si="1"/>
        <v>1831.4214463840399</v>
      </c>
      <c r="J22" s="216">
        <f t="shared" si="2"/>
        <v>1831.4214463840399</v>
      </c>
      <c r="K22" s="216">
        <f t="shared" si="3"/>
        <v>1831.4214463840399</v>
      </c>
      <c r="L22" s="288">
        <f t="shared" si="4"/>
        <v>1831.4214463840399</v>
      </c>
    </row>
    <row r="23" spans="2:12">
      <c r="B23" s="144" t="str">
        <f>'3.10 - Inversiones'!B64</f>
        <v xml:space="preserve">Racks </v>
      </c>
      <c r="C23" s="1307">
        <v>10</v>
      </c>
      <c r="D23" s="73">
        <f t="shared" si="5"/>
        <v>0.1</v>
      </c>
      <c r="E23" s="259">
        <f>'3.10 - Inversiones'!G64</f>
        <v>14842.892768079801</v>
      </c>
      <c r="F23" s="259">
        <f t="shared" si="6"/>
        <v>1484.2892768079801</v>
      </c>
      <c r="G23" s="986">
        <v>2024</v>
      </c>
      <c r="H23" s="306">
        <f t="shared" si="0"/>
        <v>1484.2892768079801</v>
      </c>
      <c r="I23" s="216">
        <f t="shared" si="1"/>
        <v>1484.2892768079801</v>
      </c>
      <c r="J23" s="216">
        <f t="shared" si="2"/>
        <v>1484.2892768079801</v>
      </c>
      <c r="K23" s="216">
        <f t="shared" si="3"/>
        <v>1484.2892768079801</v>
      </c>
      <c r="L23" s="288">
        <f t="shared" si="4"/>
        <v>1484.2892768079801</v>
      </c>
    </row>
    <row r="24" spans="2:12">
      <c r="B24" s="144" t="str">
        <f>'3.10 - Inversiones'!B65</f>
        <v>Armario metalico</v>
      </c>
      <c r="C24" s="1307">
        <v>10</v>
      </c>
      <c r="D24" s="73">
        <f t="shared" si="5"/>
        <v>0.1</v>
      </c>
      <c r="E24" s="259">
        <f>'3.10 - Inversiones'!G65</f>
        <v>538.65336658354113</v>
      </c>
      <c r="F24" s="259">
        <f t="shared" si="6"/>
        <v>53.865336658354117</v>
      </c>
      <c r="G24" s="986">
        <v>2024</v>
      </c>
      <c r="H24" s="306">
        <f t="shared" si="0"/>
        <v>53.865336658354117</v>
      </c>
      <c r="I24" s="216">
        <f t="shared" si="1"/>
        <v>53.865336658354117</v>
      </c>
      <c r="J24" s="216">
        <f t="shared" si="2"/>
        <v>53.865336658354117</v>
      </c>
      <c r="K24" s="216">
        <f t="shared" si="3"/>
        <v>53.865336658354117</v>
      </c>
      <c r="L24" s="288">
        <f t="shared" si="4"/>
        <v>53.865336658354117</v>
      </c>
    </row>
    <row r="25" spans="2:12">
      <c r="B25" s="124" t="str">
        <f>'3.10 - Inversiones'!B70</f>
        <v>Escritorio oficina</v>
      </c>
      <c r="C25" s="1307">
        <v>10</v>
      </c>
      <c r="D25" s="285">
        <f t="shared" si="5"/>
        <v>0.1</v>
      </c>
      <c r="E25" s="259">
        <f>'3.10 - Inversiones'!G70</f>
        <v>718.20448877805484</v>
      </c>
      <c r="F25" s="259">
        <f t="shared" si="6"/>
        <v>71.820448877805489</v>
      </c>
      <c r="G25" s="986">
        <v>2024</v>
      </c>
      <c r="H25" s="306">
        <f t="shared" si="0"/>
        <v>71.820448877805489</v>
      </c>
      <c r="I25" s="216">
        <f t="shared" si="1"/>
        <v>71.820448877805489</v>
      </c>
      <c r="J25" s="216">
        <f t="shared" si="2"/>
        <v>71.820448877805489</v>
      </c>
      <c r="K25" s="216">
        <f t="shared" si="3"/>
        <v>71.820448877805489</v>
      </c>
      <c r="L25" s="288">
        <f t="shared" si="4"/>
        <v>71.820448877805489</v>
      </c>
    </row>
    <row r="26" spans="2:12">
      <c r="B26" s="124" t="str">
        <f>'3.10 - Inversiones'!B71</f>
        <v>Mesa de comedor</v>
      </c>
      <c r="C26" s="1307">
        <v>10</v>
      </c>
      <c r="D26" s="285">
        <f t="shared" si="5"/>
        <v>0.1</v>
      </c>
      <c r="E26" s="259">
        <f>'3.10 - Inversiones'!G71</f>
        <v>334.16458852867828</v>
      </c>
      <c r="F26" s="259">
        <f t="shared" si="6"/>
        <v>33.416458852867827</v>
      </c>
      <c r="G26" s="986">
        <v>2024</v>
      </c>
      <c r="H26" s="306">
        <f t="shared" si="0"/>
        <v>33.416458852867827</v>
      </c>
      <c r="I26" s="216">
        <f t="shared" si="1"/>
        <v>33.416458852867827</v>
      </c>
      <c r="J26" s="216">
        <f t="shared" si="2"/>
        <v>33.416458852867827</v>
      </c>
      <c r="K26" s="216">
        <f t="shared" si="3"/>
        <v>33.416458852867827</v>
      </c>
      <c r="L26" s="288">
        <f t="shared" si="4"/>
        <v>33.416458852867827</v>
      </c>
    </row>
    <row r="27" spans="2:12">
      <c r="B27" s="124" t="str">
        <f>'3.10 - Inversiones'!B72</f>
        <v>Silla de comedor</v>
      </c>
      <c r="C27" s="1307">
        <v>10</v>
      </c>
      <c r="D27" s="285">
        <f t="shared" si="5"/>
        <v>0.1</v>
      </c>
      <c r="E27" s="259">
        <f>'3.10 - Inversiones'!G72</f>
        <v>377.05735660847881</v>
      </c>
      <c r="F27" s="259">
        <f t="shared" si="6"/>
        <v>37.705735660847886</v>
      </c>
      <c r="G27" s="986">
        <v>2024</v>
      </c>
      <c r="H27" s="306">
        <f t="shared" si="0"/>
        <v>37.705735660847886</v>
      </c>
      <c r="I27" s="216">
        <f t="shared" si="1"/>
        <v>37.705735660847886</v>
      </c>
      <c r="J27" s="216">
        <f t="shared" si="2"/>
        <v>37.705735660847886</v>
      </c>
      <c r="K27" s="216">
        <f t="shared" si="3"/>
        <v>37.705735660847886</v>
      </c>
      <c r="L27" s="288">
        <f t="shared" si="4"/>
        <v>37.705735660847886</v>
      </c>
    </row>
    <row r="28" spans="2:12">
      <c r="B28" s="124" t="str">
        <f>'3.10 - Inversiones'!B73</f>
        <v>Equipamiento comedor planta</v>
      </c>
      <c r="C28" s="1307">
        <v>10</v>
      </c>
      <c r="D28" s="285">
        <f t="shared" si="5"/>
        <v>0.1</v>
      </c>
      <c r="E28" s="259">
        <f>'3.10 - Inversiones'!G73</f>
        <v>167.58104738154614</v>
      </c>
      <c r="F28" s="259">
        <f t="shared" si="6"/>
        <v>16.758104738154614</v>
      </c>
      <c r="G28" s="986">
        <v>2024</v>
      </c>
      <c r="H28" s="306">
        <f t="shared" si="0"/>
        <v>16.758104738154614</v>
      </c>
      <c r="I28" s="216">
        <f t="shared" si="1"/>
        <v>16.758104738154614</v>
      </c>
      <c r="J28" s="216">
        <f t="shared" si="2"/>
        <v>16.758104738154614</v>
      </c>
      <c r="K28" s="216">
        <f t="shared" si="3"/>
        <v>16.758104738154614</v>
      </c>
      <c r="L28" s="288">
        <f t="shared" si="4"/>
        <v>16.758104738154614</v>
      </c>
    </row>
    <row r="29" spans="2:12">
      <c r="B29" s="124" t="str">
        <f>'3.10 - Inversiones'!B74</f>
        <v>Sillas de escritorio</v>
      </c>
      <c r="C29" s="1307">
        <v>10</v>
      </c>
      <c r="D29" s="285">
        <f t="shared" si="5"/>
        <v>0.1</v>
      </c>
      <c r="E29" s="259">
        <f>'3.10 - Inversiones'!G74</f>
        <v>395.01246882793015</v>
      </c>
      <c r="F29" s="259">
        <f t="shared" si="6"/>
        <v>39.501246882793019</v>
      </c>
      <c r="G29" s="986">
        <v>2024</v>
      </c>
      <c r="H29" s="306">
        <f t="shared" si="0"/>
        <v>39.501246882793019</v>
      </c>
      <c r="I29" s="216">
        <f t="shared" si="1"/>
        <v>39.501246882793019</v>
      </c>
      <c r="J29" s="216">
        <f t="shared" si="2"/>
        <v>39.501246882793019</v>
      </c>
      <c r="K29" s="216">
        <f t="shared" si="3"/>
        <v>39.501246882793019</v>
      </c>
      <c r="L29" s="288">
        <f t="shared" si="4"/>
        <v>39.501246882793019</v>
      </c>
    </row>
    <row r="30" spans="2:12">
      <c r="B30" s="124" t="str">
        <f>'3.10 - Inversiones'!B75</f>
        <v>Sillas recepcion</v>
      </c>
      <c r="C30" s="1307">
        <v>10</v>
      </c>
      <c r="D30" s="285">
        <f t="shared" si="5"/>
        <v>0.1</v>
      </c>
      <c r="E30" s="259">
        <f>'3.10 - Inversiones'!G75</f>
        <v>279.30174563591021</v>
      </c>
      <c r="F30" s="259">
        <f t="shared" si="6"/>
        <v>27.930174563591024</v>
      </c>
      <c r="G30" s="986">
        <v>2024</v>
      </c>
      <c r="H30" s="306">
        <f t="shared" si="0"/>
        <v>27.930174563591024</v>
      </c>
      <c r="I30" s="216">
        <f t="shared" si="1"/>
        <v>27.930174563591024</v>
      </c>
      <c r="J30" s="216">
        <f t="shared" si="2"/>
        <v>27.930174563591024</v>
      </c>
      <c r="K30" s="216">
        <f t="shared" si="3"/>
        <v>27.930174563591024</v>
      </c>
      <c r="L30" s="288">
        <f t="shared" si="4"/>
        <v>27.930174563591024</v>
      </c>
    </row>
    <row r="31" spans="2:12">
      <c r="B31" s="124" t="str">
        <f>'3.10 - Inversiones'!B76</f>
        <v>Sillon recepcion</v>
      </c>
      <c r="C31" s="1307">
        <v>10</v>
      </c>
      <c r="D31" s="285">
        <f t="shared" si="5"/>
        <v>0.1</v>
      </c>
      <c r="E31" s="259">
        <f>'3.10 - Inversiones'!G76</f>
        <v>277.30673316708231</v>
      </c>
      <c r="F31" s="259">
        <f t="shared" si="6"/>
        <v>27.730673316708234</v>
      </c>
      <c r="G31" s="986">
        <v>2024</v>
      </c>
      <c r="H31" s="306">
        <f t="shared" si="0"/>
        <v>27.730673316708234</v>
      </c>
      <c r="I31" s="216">
        <f t="shared" si="1"/>
        <v>27.730673316708234</v>
      </c>
      <c r="J31" s="216">
        <f t="shared" si="2"/>
        <v>27.730673316708234</v>
      </c>
      <c r="K31" s="216">
        <f t="shared" si="3"/>
        <v>27.730673316708234</v>
      </c>
      <c r="L31" s="288">
        <f t="shared" si="4"/>
        <v>27.730673316708234</v>
      </c>
    </row>
    <row r="32" spans="2:12">
      <c r="B32" s="124" t="str">
        <f>'3.10 - Inversiones'!B77</f>
        <v xml:space="preserve">Notebook </v>
      </c>
      <c r="C32" s="1307">
        <v>5</v>
      </c>
      <c r="D32" s="285">
        <f t="shared" si="5"/>
        <v>0.2</v>
      </c>
      <c r="E32" s="259">
        <f>'3.10 - Inversiones'!G77</f>
        <v>1984.0399002493766</v>
      </c>
      <c r="F32" s="259">
        <f t="shared" si="6"/>
        <v>396.80798004987537</v>
      </c>
      <c r="G32" s="986">
        <v>2024</v>
      </c>
      <c r="H32" s="306">
        <f t="shared" si="0"/>
        <v>396.80798004987537</v>
      </c>
      <c r="I32" s="216">
        <f t="shared" si="1"/>
        <v>396.80798004987537</v>
      </c>
      <c r="J32" s="216">
        <f t="shared" si="2"/>
        <v>396.80798004987537</v>
      </c>
      <c r="K32" s="216">
        <f t="shared" si="3"/>
        <v>396.80798004987537</v>
      </c>
      <c r="L32" s="288">
        <f t="shared" si="4"/>
        <v>396.80798004987537</v>
      </c>
    </row>
    <row r="33" spans="2:12">
      <c r="B33" s="124" t="str">
        <f>'3.10 - Inversiones'!B78</f>
        <v xml:space="preserve">Impresora </v>
      </c>
      <c r="C33" s="1307">
        <v>5</v>
      </c>
      <c r="D33" s="285">
        <f t="shared" si="5"/>
        <v>0.2</v>
      </c>
      <c r="E33" s="259">
        <f>'3.10 - Inversiones'!G78</f>
        <v>1296.7581047381545</v>
      </c>
      <c r="F33" s="259">
        <f t="shared" si="6"/>
        <v>259.35162094763092</v>
      </c>
      <c r="G33" s="986">
        <v>2024</v>
      </c>
      <c r="H33" s="306">
        <f t="shared" si="0"/>
        <v>259.35162094763092</v>
      </c>
      <c r="I33" s="216">
        <f t="shared" si="1"/>
        <v>259.35162094763092</v>
      </c>
      <c r="J33" s="216">
        <f t="shared" si="2"/>
        <v>259.35162094763092</v>
      </c>
      <c r="K33" s="216">
        <f t="shared" si="3"/>
        <v>259.35162094763092</v>
      </c>
      <c r="L33" s="288">
        <f t="shared" si="4"/>
        <v>259.35162094763092</v>
      </c>
    </row>
    <row r="34" spans="2:12">
      <c r="B34" s="124" t="str">
        <f>'3.10 - Inversiones'!B79</f>
        <v>Librero oficinas</v>
      </c>
      <c r="C34" s="1307">
        <v>10</v>
      </c>
      <c r="D34" s="285">
        <f t="shared" si="5"/>
        <v>0.1</v>
      </c>
      <c r="E34" s="259">
        <f>'3.10 - Inversiones'!G79</f>
        <v>168.57855361596009</v>
      </c>
      <c r="F34" s="259">
        <f t="shared" si="6"/>
        <v>16.857855361596009</v>
      </c>
      <c r="G34" s="986">
        <v>2024</v>
      </c>
      <c r="H34" s="306">
        <f t="shared" si="0"/>
        <v>16.857855361596009</v>
      </c>
      <c r="I34" s="216">
        <f t="shared" si="1"/>
        <v>16.857855361596009</v>
      </c>
      <c r="J34" s="216">
        <f t="shared" si="2"/>
        <v>16.857855361596009</v>
      </c>
      <c r="K34" s="216">
        <f t="shared" si="3"/>
        <v>16.857855361596009</v>
      </c>
      <c r="L34" s="288">
        <f t="shared" si="4"/>
        <v>16.857855361596009</v>
      </c>
    </row>
    <row r="35" spans="2:12">
      <c r="B35" s="124" t="str">
        <f>'3.10 - Inversiones'!B80</f>
        <v>Elementos de oficina (informatica)</v>
      </c>
      <c r="C35" s="1307">
        <v>5</v>
      </c>
      <c r="D35" s="285">
        <f t="shared" si="5"/>
        <v>0.2</v>
      </c>
      <c r="E35" s="259">
        <f>'3.10 - Inversiones'!G80</f>
        <v>81.795511221945134</v>
      </c>
      <c r="F35" s="259">
        <f t="shared" si="6"/>
        <v>16.359102244389028</v>
      </c>
      <c r="G35" s="986">
        <v>2024</v>
      </c>
      <c r="H35" s="306">
        <f t="shared" si="0"/>
        <v>16.359102244389028</v>
      </c>
      <c r="I35" s="216">
        <f t="shared" si="1"/>
        <v>16.359102244389028</v>
      </c>
      <c r="J35" s="216">
        <f t="shared" si="2"/>
        <v>16.359102244389028</v>
      </c>
      <c r="K35" s="216">
        <f t="shared" si="3"/>
        <v>16.359102244389028</v>
      </c>
      <c r="L35" s="288">
        <f t="shared" si="4"/>
        <v>16.359102244389028</v>
      </c>
    </row>
    <row r="36" spans="2:12">
      <c r="B36" s="124" t="str">
        <f>'3.10 - Inversiones'!B81</f>
        <v>Elementos de oficina (Librería)</v>
      </c>
      <c r="C36" s="1307">
        <v>10</v>
      </c>
      <c r="D36" s="285">
        <f t="shared" si="5"/>
        <v>0.1</v>
      </c>
      <c r="E36" s="259">
        <f>'3.10 - Inversiones'!G81</f>
        <v>111.72069825436409</v>
      </c>
      <c r="F36" s="259">
        <f t="shared" si="6"/>
        <v>11.172069825436409</v>
      </c>
      <c r="G36" s="986">
        <v>2024</v>
      </c>
      <c r="H36" s="306">
        <f t="shared" si="0"/>
        <v>11.172069825436409</v>
      </c>
      <c r="I36" s="216">
        <f t="shared" si="1"/>
        <v>11.172069825436409</v>
      </c>
      <c r="J36" s="216">
        <f t="shared" si="2"/>
        <v>11.172069825436409</v>
      </c>
      <c r="K36" s="216">
        <f t="shared" si="3"/>
        <v>11.172069825436409</v>
      </c>
      <c r="L36" s="288">
        <f t="shared" si="4"/>
        <v>11.172069825436409</v>
      </c>
    </row>
    <row r="37" spans="2:12">
      <c r="B37" s="124" t="str">
        <f>'3.10 - Inversiones'!B82</f>
        <v>Heladera</v>
      </c>
      <c r="C37" s="1307">
        <v>10</v>
      </c>
      <c r="D37" s="285">
        <f t="shared" si="5"/>
        <v>0.1</v>
      </c>
      <c r="E37" s="259">
        <f>'3.10 - Inversiones'!G82</f>
        <v>738.15461346633413</v>
      </c>
      <c r="F37" s="259">
        <f t="shared" si="6"/>
        <v>73.815461346633413</v>
      </c>
      <c r="G37" s="986">
        <v>2024</v>
      </c>
      <c r="H37" s="306">
        <f t="shared" si="0"/>
        <v>73.815461346633413</v>
      </c>
      <c r="I37" s="216">
        <f t="shared" si="1"/>
        <v>73.815461346633413</v>
      </c>
      <c r="J37" s="216">
        <f t="shared" si="2"/>
        <v>73.815461346633413</v>
      </c>
      <c r="K37" s="216">
        <f t="shared" si="3"/>
        <v>73.815461346633413</v>
      </c>
      <c r="L37" s="288">
        <f t="shared" si="4"/>
        <v>73.815461346633413</v>
      </c>
    </row>
    <row r="38" spans="2:12">
      <c r="B38" s="124" t="str">
        <f>'3.10 - Inversiones'!B83</f>
        <v>Smart tv</v>
      </c>
      <c r="C38" s="1307">
        <v>5</v>
      </c>
      <c r="D38" s="285">
        <f t="shared" si="5"/>
        <v>0.2</v>
      </c>
      <c r="E38" s="259">
        <f>'3.10 - Inversiones'!G83</f>
        <v>613.46633416458849</v>
      </c>
      <c r="F38" s="259">
        <f t="shared" si="6"/>
        <v>122.6932668329177</v>
      </c>
      <c r="G38" s="986">
        <v>2024</v>
      </c>
      <c r="H38" s="306">
        <f t="shared" si="0"/>
        <v>122.6932668329177</v>
      </c>
      <c r="I38" s="216">
        <f t="shared" si="1"/>
        <v>122.6932668329177</v>
      </c>
      <c r="J38" s="216">
        <f t="shared" si="2"/>
        <v>122.6932668329177</v>
      </c>
      <c r="K38" s="216">
        <f t="shared" si="3"/>
        <v>122.6932668329177</v>
      </c>
      <c r="L38" s="288">
        <f t="shared" si="4"/>
        <v>122.6932668329177</v>
      </c>
    </row>
    <row r="39" spans="2:12">
      <c r="B39" s="124" t="str">
        <f>'3.10 - Inversiones'!B84</f>
        <v>Horno Electrico</v>
      </c>
      <c r="C39" s="1307">
        <v>10</v>
      </c>
      <c r="D39" s="285">
        <f t="shared" si="5"/>
        <v>0.1</v>
      </c>
      <c r="E39" s="259">
        <f>'3.10 - Inversiones'!G84</f>
        <v>239.40149625935163</v>
      </c>
      <c r="F39" s="259">
        <f t="shared" si="6"/>
        <v>23.940149625935163</v>
      </c>
      <c r="G39" s="986">
        <v>2024</v>
      </c>
      <c r="H39" s="306">
        <f t="shared" si="0"/>
        <v>23.940149625935163</v>
      </c>
      <c r="I39" s="216">
        <f t="shared" si="1"/>
        <v>23.940149625935163</v>
      </c>
      <c r="J39" s="216">
        <f t="shared" si="2"/>
        <v>23.940149625935163</v>
      </c>
      <c r="K39" s="216">
        <f t="shared" si="3"/>
        <v>23.940149625935163</v>
      </c>
      <c r="L39" s="288">
        <f t="shared" si="4"/>
        <v>23.940149625935163</v>
      </c>
    </row>
    <row r="40" spans="2:12">
      <c r="B40" s="124" t="str">
        <f>'3.10 - Inversiones'!B85</f>
        <v>Microondas</v>
      </c>
      <c r="C40" s="1307">
        <v>10</v>
      </c>
      <c r="D40" s="285">
        <f t="shared" si="5"/>
        <v>0.1</v>
      </c>
      <c r="E40" s="259">
        <f>'3.10 - Inversiones'!G85</f>
        <v>297.2568578553616</v>
      </c>
      <c r="F40" s="259">
        <f t="shared" si="6"/>
        <v>29.725685785536161</v>
      </c>
      <c r="G40" s="986">
        <v>2024</v>
      </c>
      <c r="H40" s="306">
        <f t="shared" si="0"/>
        <v>29.725685785536161</v>
      </c>
      <c r="I40" s="216">
        <f t="shared" si="1"/>
        <v>29.725685785536161</v>
      </c>
      <c r="J40" s="216">
        <f t="shared" si="2"/>
        <v>29.725685785536161</v>
      </c>
      <c r="K40" s="216">
        <f t="shared" si="3"/>
        <v>29.725685785536161</v>
      </c>
      <c r="L40" s="288">
        <f t="shared" si="4"/>
        <v>29.725685785536161</v>
      </c>
    </row>
    <row r="41" spans="2:12">
      <c r="B41" s="124" t="str">
        <f>'3.10 - Inversiones'!B86</f>
        <v>Dispenser de agua</v>
      </c>
      <c r="C41" s="1307">
        <v>10</v>
      </c>
      <c r="D41" s="285">
        <f t="shared" si="5"/>
        <v>0.1</v>
      </c>
      <c r="E41" s="259">
        <f>'3.10 - Inversiones'!G86</f>
        <v>250.37406483790522</v>
      </c>
      <c r="F41" s="259">
        <f t="shared" si="6"/>
        <v>25.037406483790523</v>
      </c>
      <c r="G41" s="986">
        <v>2024</v>
      </c>
      <c r="H41" s="306">
        <f t="shared" si="0"/>
        <v>25.037406483790523</v>
      </c>
      <c r="I41" s="216">
        <f t="shared" si="1"/>
        <v>25.037406483790523</v>
      </c>
      <c r="J41" s="216">
        <f t="shared" si="2"/>
        <v>25.037406483790523</v>
      </c>
      <c r="K41" s="216">
        <f t="shared" si="3"/>
        <v>25.037406483790523</v>
      </c>
      <c r="L41" s="288">
        <f t="shared" si="4"/>
        <v>25.037406483790523</v>
      </c>
    </row>
    <row r="42" spans="2:12">
      <c r="B42" s="124" t="str">
        <f>'3.10 - Inversiones'!B87</f>
        <v xml:space="preserve">Guardarropa metalico </v>
      </c>
      <c r="C42" s="1307">
        <v>10</v>
      </c>
      <c r="D42" s="285">
        <f t="shared" si="5"/>
        <v>0.1</v>
      </c>
      <c r="E42" s="259">
        <f>'3.10 - Inversiones'!G87</f>
        <v>625.43640897755608</v>
      </c>
      <c r="F42" s="259">
        <f t="shared" si="6"/>
        <v>62.543640897755608</v>
      </c>
      <c r="G42" s="986">
        <v>2024</v>
      </c>
      <c r="H42" s="306">
        <f t="shared" si="0"/>
        <v>62.543640897755608</v>
      </c>
      <c r="I42" s="216">
        <f t="shared" si="1"/>
        <v>62.543640897755608</v>
      </c>
      <c r="J42" s="216">
        <f t="shared" si="2"/>
        <v>62.543640897755608</v>
      </c>
      <c r="K42" s="216">
        <f t="shared" si="3"/>
        <v>62.543640897755608</v>
      </c>
      <c r="L42" s="288">
        <f t="shared" si="4"/>
        <v>62.543640897755608</v>
      </c>
    </row>
    <row r="43" spans="2:12">
      <c r="B43" s="124" t="s">
        <v>1216</v>
      </c>
      <c r="C43" s="1307">
        <v>15</v>
      </c>
      <c r="D43" s="285">
        <f t="shared" si="5"/>
        <v>6.6666666666666666E-2</v>
      </c>
      <c r="E43" s="259">
        <f>'3.10 - Inversiones'!G92</f>
        <v>4996.8329177057358</v>
      </c>
      <c r="F43" s="259">
        <f t="shared" si="6"/>
        <v>333.12219451371573</v>
      </c>
      <c r="G43" s="986">
        <v>2024</v>
      </c>
      <c r="H43" s="306">
        <f t="shared" ref="H43:H49" si="7">IF(G43&lt;=$H$5,F43,0)</f>
        <v>333.12219451371573</v>
      </c>
      <c r="I43" s="216">
        <f t="shared" ref="I43:I49" si="8">IF(G43&lt;=$I$5,F43,0)</f>
        <v>333.12219451371573</v>
      </c>
      <c r="J43" s="216">
        <f t="shared" ref="J43:J49" si="9">IF(G43&lt;=$J$5,F43,0)</f>
        <v>333.12219451371573</v>
      </c>
      <c r="K43" s="216">
        <f t="shared" ref="K43:K49" si="10">IF(G43&lt;=$K$5,F43,0)</f>
        <v>333.12219451371573</v>
      </c>
      <c r="L43" s="288">
        <f t="shared" ref="L43:L49" si="11">IF(G43&lt;=$L$5,F43,0)</f>
        <v>333.12219451371573</v>
      </c>
    </row>
    <row r="44" spans="2:12">
      <c r="B44" s="124" t="s">
        <v>1217</v>
      </c>
      <c r="C44" s="1307">
        <v>15</v>
      </c>
      <c r="D44" s="285">
        <f t="shared" si="5"/>
        <v>6.6666666666666666E-2</v>
      </c>
      <c r="E44" s="259">
        <f>'3.10 - Inversiones'!G93</f>
        <v>3329.8254364089776</v>
      </c>
      <c r="F44" s="259">
        <f t="shared" si="6"/>
        <v>221.98836242726517</v>
      </c>
      <c r="G44" s="986">
        <v>2024</v>
      </c>
      <c r="H44" s="306">
        <f t="shared" si="7"/>
        <v>221.98836242726517</v>
      </c>
      <c r="I44" s="216">
        <f t="shared" si="8"/>
        <v>221.98836242726517</v>
      </c>
      <c r="J44" s="216">
        <f t="shared" si="9"/>
        <v>221.98836242726517</v>
      </c>
      <c r="K44" s="216">
        <f t="shared" si="10"/>
        <v>221.98836242726517</v>
      </c>
      <c r="L44" s="288">
        <f t="shared" si="11"/>
        <v>221.98836242726517</v>
      </c>
    </row>
    <row r="45" spans="2:12">
      <c r="B45" s="124" t="s">
        <v>1218</v>
      </c>
      <c r="C45" s="1307">
        <v>15</v>
      </c>
      <c r="D45" s="285">
        <f t="shared" si="5"/>
        <v>6.6666666666666666E-2</v>
      </c>
      <c r="E45" s="259">
        <f>'3.10 - Inversiones'!G94</f>
        <v>8755.3855361596015</v>
      </c>
      <c r="F45" s="259">
        <f t="shared" si="6"/>
        <v>583.69236907730681</v>
      </c>
      <c r="G45" s="986">
        <v>2024</v>
      </c>
      <c r="H45" s="306">
        <f t="shared" si="7"/>
        <v>583.69236907730681</v>
      </c>
      <c r="I45" s="216">
        <f t="shared" si="8"/>
        <v>583.69236907730681</v>
      </c>
      <c r="J45" s="216">
        <f t="shared" si="9"/>
        <v>583.69236907730681</v>
      </c>
      <c r="K45" s="216">
        <f t="shared" si="10"/>
        <v>583.69236907730681</v>
      </c>
      <c r="L45" s="288">
        <f t="shared" si="11"/>
        <v>583.69236907730681</v>
      </c>
    </row>
    <row r="46" spans="2:12">
      <c r="B46" s="124" t="s">
        <v>1219</v>
      </c>
      <c r="C46" s="1307">
        <v>15</v>
      </c>
      <c r="D46" s="285">
        <f t="shared" si="5"/>
        <v>6.6666666666666666E-2</v>
      </c>
      <c r="E46" s="259">
        <f>'3.10 - Inversiones'!G95</f>
        <v>6312.8658354114714</v>
      </c>
      <c r="F46" s="259">
        <f t="shared" si="6"/>
        <v>420.85772236076474</v>
      </c>
      <c r="G46" s="986">
        <v>2024</v>
      </c>
      <c r="H46" s="306">
        <f t="shared" si="7"/>
        <v>420.85772236076474</v>
      </c>
      <c r="I46" s="216">
        <f t="shared" si="8"/>
        <v>420.85772236076474</v>
      </c>
      <c r="J46" s="216">
        <f t="shared" si="9"/>
        <v>420.85772236076474</v>
      </c>
      <c r="K46" s="216">
        <f t="shared" si="10"/>
        <v>420.85772236076474</v>
      </c>
      <c r="L46" s="288">
        <f t="shared" si="11"/>
        <v>420.85772236076474</v>
      </c>
    </row>
    <row r="47" spans="2:12">
      <c r="B47" s="124" t="s">
        <v>1220</v>
      </c>
      <c r="C47" s="1307">
        <v>15</v>
      </c>
      <c r="D47" s="285">
        <f t="shared" si="5"/>
        <v>6.6666666666666666E-2</v>
      </c>
      <c r="E47" s="259">
        <f>'3.10 - Inversiones'!G96</f>
        <v>20404.009975062345</v>
      </c>
      <c r="F47" s="259">
        <f t="shared" si="6"/>
        <v>1360.2673316708231</v>
      </c>
      <c r="G47" s="986">
        <v>2024</v>
      </c>
      <c r="H47" s="306">
        <f t="shared" si="7"/>
        <v>1360.2673316708231</v>
      </c>
      <c r="I47" s="216">
        <f t="shared" si="8"/>
        <v>1360.2673316708231</v>
      </c>
      <c r="J47" s="216">
        <f t="shared" si="9"/>
        <v>1360.2673316708231</v>
      </c>
      <c r="K47" s="216">
        <f t="shared" si="10"/>
        <v>1360.2673316708231</v>
      </c>
      <c r="L47" s="288">
        <f t="shared" si="11"/>
        <v>1360.2673316708231</v>
      </c>
    </row>
    <row r="48" spans="2:12">
      <c r="B48" s="124" t="s">
        <v>1221</v>
      </c>
      <c r="C48" s="1307">
        <v>15</v>
      </c>
      <c r="D48" s="285">
        <f t="shared" si="5"/>
        <v>6.6666666666666666E-2</v>
      </c>
      <c r="E48" s="259">
        <f>'3.10 - Inversiones'!G97</f>
        <v>22399.554862842891</v>
      </c>
      <c r="F48" s="259">
        <f t="shared" si="6"/>
        <v>1493.3036575228593</v>
      </c>
      <c r="G48" s="986">
        <v>2024</v>
      </c>
      <c r="H48" s="306">
        <f t="shared" si="7"/>
        <v>1493.3036575228593</v>
      </c>
      <c r="I48" s="216">
        <f t="shared" si="8"/>
        <v>1493.3036575228593</v>
      </c>
      <c r="J48" s="216">
        <f t="shared" si="9"/>
        <v>1493.3036575228593</v>
      </c>
      <c r="K48" s="216">
        <f t="shared" si="10"/>
        <v>1493.3036575228593</v>
      </c>
      <c r="L48" s="288">
        <f t="shared" si="11"/>
        <v>1493.3036575228593</v>
      </c>
    </row>
    <row r="49" spans="2:12">
      <c r="B49" s="124" t="s">
        <v>1222</v>
      </c>
      <c r="C49" s="1307">
        <v>15</v>
      </c>
      <c r="D49" s="285">
        <f t="shared" si="5"/>
        <v>6.6666666666666666E-2</v>
      </c>
      <c r="E49" s="259">
        <f>'3.10 - Inversiones'!G98</f>
        <v>20868.819950124689</v>
      </c>
      <c r="F49" s="259">
        <f t="shared" si="6"/>
        <v>1391.2546633416459</v>
      </c>
      <c r="G49" s="986">
        <v>2024</v>
      </c>
      <c r="H49" s="306">
        <f t="shared" si="7"/>
        <v>1391.2546633416459</v>
      </c>
      <c r="I49" s="216">
        <f t="shared" si="8"/>
        <v>1391.2546633416459</v>
      </c>
      <c r="J49" s="216">
        <f t="shared" si="9"/>
        <v>1391.2546633416459</v>
      </c>
      <c r="K49" s="216">
        <f t="shared" si="10"/>
        <v>1391.2546633416459</v>
      </c>
      <c r="L49" s="288">
        <f t="shared" si="11"/>
        <v>1391.2546633416459</v>
      </c>
    </row>
    <row r="50" spans="2:12">
      <c r="B50" s="124" t="str">
        <f>'3.10 - Inversiones'!B107</f>
        <v>Inyectora de plastico</v>
      </c>
      <c r="C50" s="1307">
        <v>10</v>
      </c>
      <c r="D50" s="285">
        <f t="shared" si="5"/>
        <v>0.1</v>
      </c>
      <c r="E50" s="259">
        <f>'3.10 - Inversiones'!G107</f>
        <v>75687.321875311725</v>
      </c>
      <c r="F50" s="259">
        <f t="shared" si="6"/>
        <v>7568.7321875311727</v>
      </c>
      <c r="G50" s="987">
        <v>2026</v>
      </c>
      <c r="H50" s="306">
        <f t="shared" ref="H50:H74" si="12">IF(G50&lt;=$H$5,F50,0)</f>
        <v>0</v>
      </c>
      <c r="I50" s="216">
        <f t="shared" ref="I50:I74" si="13">IF(G50&lt;=$I$5,F50,0)</f>
        <v>0</v>
      </c>
      <c r="J50" s="216">
        <f t="shared" ref="J50:J74" si="14">IF(G50&lt;=$J$5,F50,0)</f>
        <v>7568.7321875311727</v>
      </c>
      <c r="K50" s="216">
        <f t="shared" ref="K50:K74" si="15">IF(G50&lt;=$K$5,F50,0)</f>
        <v>7568.7321875311727</v>
      </c>
      <c r="L50" s="288">
        <f t="shared" ref="L50:L74" si="16">IF(G50&lt;=$L$5,F50,0)</f>
        <v>7568.7321875311727</v>
      </c>
    </row>
    <row r="51" spans="2:12">
      <c r="B51" s="124" t="str">
        <f>'3.10 - Inversiones'!B108</f>
        <v>Matriz Alivianadores</v>
      </c>
      <c r="C51" s="1307">
        <v>10</v>
      </c>
      <c r="D51" s="285">
        <f t="shared" si="5"/>
        <v>0.1</v>
      </c>
      <c r="E51" s="259">
        <f>'3.10 - Inversiones'!G108</f>
        <v>15940.753316708229</v>
      </c>
      <c r="F51" s="259">
        <f t="shared" si="6"/>
        <v>1594.0753316708231</v>
      </c>
      <c r="G51" s="987">
        <v>2026</v>
      </c>
      <c r="H51" s="306">
        <f t="shared" si="12"/>
        <v>0</v>
      </c>
      <c r="I51" s="216">
        <f t="shared" si="13"/>
        <v>0</v>
      </c>
      <c r="J51" s="216">
        <f t="shared" si="14"/>
        <v>1594.0753316708231</v>
      </c>
      <c r="K51" s="216">
        <f t="shared" si="15"/>
        <v>1594.0753316708231</v>
      </c>
      <c r="L51" s="288">
        <f t="shared" si="16"/>
        <v>1594.0753316708231</v>
      </c>
    </row>
    <row r="52" spans="2:12">
      <c r="B52" s="124" t="str">
        <f>'3.10 - Inversiones'!B109</f>
        <v>Cargador de tolva</v>
      </c>
      <c r="C52" s="1307">
        <v>10</v>
      </c>
      <c r="D52" s="285">
        <f t="shared" si="5"/>
        <v>0.1</v>
      </c>
      <c r="E52" s="259">
        <f>'3.10 - Inversiones'!G109</f>
        <v>8142.2867431421455</v>
      </c>
      <c r="F52" s="259">
        <f t="shared" si="6"/>
        <v>814.22867431421457</v>
      </c>
      <c r="G52" s="987">
        <v>2026</v>
      </c>
      <c r="H52" s="306">
        <f t="shared" si="12"/>
        <v>0</v>
      </c>
      <c r="I52" s="216">
        <f t="shared" si="13"/>
        <v>0</v>
      </c>
      <c r="J52" s="216">
        <f t="shared" si="14"/>
        <v>814.22867431421457</v>
      </c>
      <c r="K52" s="216">
        <f t="shared" si="15"/>
        <v>814.22867431421457</v>
      </c>
      <c r="L52" s="288">
        <f t="shared" si="16"/>
        <v>814.22867431421457</v>
      </c>
    </row>
    <row r="53" spans="2:12">
      <c r="B53" s="124" t="str">
        <f>'3.10 - Inversiones'!B110</f>
        <v>Dosificador de masterbatch</v>
      </c>
      <c r="C53" s="1307">
        <v>10</v>
      </c>
      <c r="D53" s="285">
        <f t="shared" si="5"/>
        <v>0.1</v>
      </c>
      <c r="E53" s="259">
        <f>'3.10 - Inversiones'!G110</f>
        <v>5159.8030539650881</v>
      </c>
      <c r="F53" s="259">
        <f t="shared" si="6"/>
        <v>515.98030539650881</v>
      </c>
      <c r="G53" s="987">
        <v>2026</v>
      </c>
      <c r="H53" s="306">
        <f t="shared" si="12"/>
        <v>0</v>
      </c>
      <c r="I53" s="216">
        <f t="shared" si="13"/>
        <v>0</v>
      </c>
      <c r="J53" s="216">
        <f t="shared" si="14"/>
        <v>515.98030539650881</v>
      </c>
      <c r="K53" s="216">
        <f t="shared" si="15"/>
        <v>515.98030539650881</v>
      </c>
      <c r="L53" s="288">
        <f t="shared" si="16"/>
        <v>515.98030539650881</v>
      </c>
    </row>
    <row r="54" spans="2:12">
      <c r="B54" s="124" t="str">
        <f>'3.10 - Inversiones'!B111</f>
        <v>Mesa carro porta herramientas</v>
      </c>
      <c r="C54" s="1307">
        <v>10</v>
      </c>
      <c r="D54" s="285">
        <f t="shared" si="5"/>
        <v>0.1</v>
      </c>
      <c r="E54" s="259">
        <f>'3.10 - Inversiones'!G111</f>
        <v>120.85799900249378</v>
      </c>
      <c r="F54" s="259">
        <f t="shared" si="6"/>
        <v>12.085799900249379</v>
      </c>
      <c r="G54" s="987">
        <v>2026</v>
      </c>
      <c r="H54" s="306">
        <f t="shared" si="12"/>
        <v>0</v>
      </c>
      <c r="I54" s="216">
        <f t="shared" si="13"/>
        <v>0</v>
      </c>
      <c r="J54" s="216">
        <f t="shared" si="14"/>
        <v>12.085799900249379</v>
      </c>
      <c r="K54" s="216">
        <f t="shared" si="15"/>
        <v>12.085799900249379</v>
      </c>
      <c r="L54" s="288">
        <f t="shared" si="16"/>
        <v>12.085799900249379</v>
      </c>
    </row>
    <row r="55" spans="2:12">
      <c r="B55" s="124" t="str">
        <f>'3.10 - Inversiones'!B112</f>
        <v>Set de herramientas</v>
      </c>
      <c r="C55" s="1307">
        <v>10</v>
      </c>
      <c r="D55" s="285">
        <f t="shared" si="5"/>
        <v>0.1</v>
      </c>
      <c r="E55" s="259">
        <f>'3.10 - Inversiones'!G112</f>
        <v>37.507654862842891</v>
      </c>
      <c r="F55" s="259">
        <f t="shared" si="6"/>
        <v>3.7507654862842892</v>
      </c>
      <c r="G55" s="987">
        <v>2026</v>
      </c>
      <c r="H55" s="306">
        <f t="shared" si="12"/>
        <v>0</v>
      </c>
      <c r="I55" s="216">
        <f t="shared" si="13"/>
        <v>0</v>
      </c>
      <c r="J55" s="216">
        <f t="shared" si="14"/>
        <v>3.7507654862842892</v>
      </c>
      <c r="K55" s="216">
        <f t="shared" si="15"/>
        <v>3.7507654862842892</v>
      </c>
      <c r="L55" s="288">
        <f t="shared" si="16"/>
        <v>3.7507654862842892</v>
      </c>
    </row>
    <row r="56" spans="2:12">
      <c r="B56" s="124" t="str">
        <f>'3.10 - Inversiones'!B113</f>
        <v xml:space="preserve">Notebook </v>
      </c>
      <c r="C56" s="1307">
        <v>5</v>
      </c>
      <c r="D56" s="285">
        <f t="shared" si="5"/>
        <v>0.2</v>
      </c>
      <c r="E56" s="259">
        <f>'3.10 - Inversiones'!G113</f>
        <v>1381.5319541147132</v>
      </c>
      <c r="F56" s="259">
        <f t="shared" si="6"/>
        <v>276.30639082294266</v>
      </c>
      <c r="G56" s="987">
        <v>2026</v>
      </c>
      <c r="H56" s="306">
        <f t="shared" si="12"/>
        <v>0</v>
      </c>
      <c r="I56" s="216">
        <f t="shared" si="13"/>
        <v>0</v>
      </c>
      <c r="J56" s="216">
        <f t="shared" si="14"/>
        <v>276.30639082294266</v>
      </c>
      <c r="K56" s="216">
        <f t="shared" si="15"/>
        <v>276.30639082294266</v>
      </c>
      <c r="L56" s="288">
        <f t="shared" si="16"/>
        <v>276.30639082294266</v>
      </c>
    </row>
    <row r="57" spans="2:12">
      <c r="B57" s="124" t="str">
        <f>'3.10 - Inversiones'!B114</f>
        <v xml:space="preserve">Impresora </v>
      </c>
      <c r="C57" s="1307">
        <v>10</v>
      </c>
      <c r="D57" s="285">
        <f t="shared" si="5"/>
        <v>0.1</v>
      </c>
      <c r="E57" s="259">
        <f>'3.10 - Inversiones'!G115</f>
        <v>500.10206483790523</v>
      </c>
      <c r="F57" s="259">
        <f t="shared" si="6"/>
        <v>50.010206483790526</v>
      </c>
      <c r="G57" s="987">
        <v>2026</v>
      </c>
      <c r="H57" s="306">
        <f t="shared" si="12"/>
        <v>0</v>
      </c>
      <c r="I57" s="216">
        <f t="shared" si="13"/>
        <v>0</v>
      </c>
      <c r="J57" s="216">
        <f t="shared" si="14"/>
        <v>50.010206483790526</v>
      </c>
      <c r="K57" s="216">
        <f t="shared" si="15"/>
        <v>50.010206483790526</v>
      </c>
      <c r="L57" s="288">
        <f t="shared" si="16"/>
        <v>50.010206483790526</v>
      </c>
    </row>
    <row r="58" spans="2:12">
      <c r="B58" s="124" t="str">
        <f>'3.10 - Inversiones'!B115</f>
        <v>Escritorio oficina</v>
      </c>
      <c r="C58" s="1307">
        <v>10</v>
      </c>
      <c r="D58" s="285">
        <f t="shared" si="5"/>
        <v>0.1</v>
      </c>
      <c r="E58" s="259">
        <f>'3.10 - Inversiones'!G116</f>
        <v>176.07760199501246</v>
      </c>
      <c r="F58" s="259">
        <f t="shared" si="6"/>
        <v>17.607760199501246</v>
      </c>
      <c r="G58" s="987">
        <v>2026</v>
      </c>
      <c r="H58" s="306">
        <f t="shared" si="12"/>
        <v>0</v>
      </c>
      <c r="I58" s="216">
        <f t="shared" si="13"/>
        <v>0</v>
      </c>
      <c r="J58" s="216">
        <f t="shared" si="14"/>
        <v>17.607760199501246</v>
      </c>
      <c r="K58" s="216">
        <f t="shared" si="15"/>
        <v>17.607760199501246</v>
      </c>
      <c r="L58" s="288">
        <f t="shared" si="16"/>
        <v>17.607760199501246</v>
      </c>
    </row>
    <row r="59" spans="2:12">
      <c r="B59" s="124" t="str">
        <f>'3.10 - Inversiones'!B116</f>
        <v>Librero oficinas</v>
      </c>
      <c r="C59" s="1307">
        <v>10</v>
      </c>
      <c r="D59" s="285">
        <f t="shared" si="5"/>
        <v>0.1</v>
      </c>
      <c r="E59" s="259">
        <f>'3.10 - Inversiones'!G117</f>
        <v>275.05613566084787</v>
      </c>
      <c r="F59" s="259">
        <f t="shared" si="6"/>
        <v>27.50561356608479</v>
      </c>
      <c r="G59" s="987">
        <v>2026</v>
      </c>
      <c r="H59" s="306">
        <f t="shared" si="12"/>
        <v>0</v>
      </c>
      <c r="I59" s="216">
        <f t="shared" si="13"/>
        <v>0</v>
      </c>
      <c r="J59" s="216">
        <f t="shared" si="14"/>
        <v>27.50561356608479</v>
      </c>
      <c r="K59" s="216">
        <f t="shared" si="15"/>
        <v>27.50561356608479</v>
      </c>
      <c r="L59" s="288">
        <f t="shared" si="16"/>
        <v>27.50561356608479</v>
      </c>
    </row>
    <row r="60" spans="2:12">
      <c r="B60" s="124" t="str">
        <f>'3.10 - Inversiones'!B117</f>
        <v>Sillas de escritorio</v>
      </c>
      <c r="C60" s="1307">
        <v>5</v>
      </c>
      <c r="D60" s="285">
        <f t="shared" si="5"/>
        <v>0.2</v>
      </c>
      <c r="E60" s="259">
        <f>'3.10 - Inversiones'!G118</f>
        <v>85.434102743142148</v>
      </c>
      <c r="F60" s="259">
        <f t="shared" si="6"/>
        <v>17.086820548628431</v>
      </c>
      <c r="G60" s="987">
        <v>2026</v>
      </c>
      <c r="H60" s="306">
        <f t="shared" si="12"/>
        <v>0</v>
      </c>
      <c r="I60" s="216">
        <f t="shared" si="13"/>
        <v>0</v>
      </c>
      <c r="J60" s="216">
        <f t="shared" si="14"/>
        <v>17.086820548628431</v>
      </c>
      <c r="K60" s="216">
        <f t="shared" si="15"/>
        <v>17.086820548628431</v>
      </c>
      <c r="L60" s="288">
        <f t="shared" si="16"/>
        <v>17.086820548628431</v>
      </c>
    </row>
    <row r="61" spans="2:12">
      <c r="B61" s="124" t="str">
        <f>'3.10 - Inversiones'!B118</f>
        <v>Elementos de oficina (informatica)</v>
      </c>
      <c r="C61" s="1307">
        <v>10</v>
      </c>
      <c r="D61" s="285">
        <f t="shared" si="5"/>
        <v>0.1</v>
      </c>
      <c r="E61" s="259">
        <f>'3.10 - Inversiones'!G119</f>
        <v>116.69048179551123</v>
      </c>
      <c r="F61" s="259">
        <f t="shared" si="6"/>
        <v>11.669048179551124</v>
      </c>
      <c r="G61" s="987">
        <v>2026</v>
      </c>
      <c r="H61" s="306">
        <f t="shared" si="12"/>
        <v>0</v>
      </c>
      <c r="I61" s="216">
        <f t="shared" si="13"/>
        <v>0</v>
      </c>
      <c r="J61" s="216">
        <f t="shared" si="14"/>
        <v>11.669048179551124</v>
      </c>
      <c r="K61" s="216">
        <f t="shared" si="15"/>
        <v>11.669048179551124</v>
      </c>
      <c r="L61" s="288">
        <f t="shared" si="16"/>
        <v>11.669048179551124</v>
      </c>
    </row>
    <row r="62" spans="2:12">
      <c r="B62" s="124" t="str">
        <f>'3.10 - Inversiones'!B119</f>
        <v>Elementos de oficina (Librería)</v>
      </c>
      <c r="C62" s="1307">
        <v>10</v>
      </c>
      <c r="D62" s="285">
        <f t="shared" si="5"/>
        <v>0.1</v>
      </c>
      <c r="E62" s="259">
        <f>'3.10 - Inversiones'!G124</f>
        <v>653.25832219451377</v>
      </c>
      <c r="F62" s="259">
        <f t="shared" si="6"/>
        <v>65.325832219451385</v>
      </c>
      <c r="G62" s="987">
        <v>2026</v>
      </c>
      <c r="H62" s="306">
        <f t="shared" si="12"/>
        <v>0</v>
      </c>
      <c r="I62" s="216">
        <f t="shared" si="13"/>
        <v>0</v>
      </c>
      <c r="J62" s="216">
        <f t="shared" si="14"/>
        <v>65.325832219451385</v>
      </c>
      <c r="K62" s="216">
        <f t="shared" si="15"/>
        <v>65.325832219451385</v>
      </c>
      <c r="L62" s="288">
        <f t="shared" si="16"/>
        <v>65.325832219451385</v>
      </c>
    </row>
    <row r="63" spans="2:12">
      <c r="B63" s="124" t="str">
        <f>'3.10 - Inversiones'!$B$120</f>
        <v>Equipamiento comedor planta</v>
      </c>
      <c r="C63" s="1307">
        <v>10</v>
      </c>
      <c r="D63" s="285">
        <f t="shared" si="5"/>
        <v>0.1</v>
      </c>
      <c r="E63" s="259">
        <f>'3.10 - Inversiones'!$G$120</f>
        <v>175.03572269326685</v>
      </c>
      <c r="F63" s="259">
        <f t="shared" si="6"/>
        <v>17.503572269326686</v>
      </c>
      <c r="G63" s="987">
        <v>2026</v>
      </c>
      <c r="H63" s="306">
        <f t="shared" ref="H63" si="17">IF(G63&lt;=$H$5,F63,0)</f>
        <v>0</v>
      </c>
      <c r="I63" s="216">
        <f t="shared" ref="I63" si="18">IF(G63&lt;=$I$5,F63,0)</f>
        <v>0</v>
      </c>
      <c r="J63" s="216">
        <f t="shared" ref="J63" si="19">IF(G63&lt;=$J$5,F63,0)</f>
        <v>17.503572269326686</v>
      </c>
      <c r="K63" s="216">
        <f t="shared" ref="K63" si="20">IF(G63&lt;=$K$5,F63,0)</f>
        <v>17.503572269326686</v>
      </c>
      <c r="L63" s="288">
        <f t="shared" ref="L63" si="21">IF(G63&lt;=$L$5,F63,0)</f>
        <v>17.503572269326686</v>
      </c>
    </row>
    <row r="64" spans="2:12">
      <c r="B64" s="51" t="str">
        <f>'3.10 - Inversiones'!B121</f>
        <v>Mesa de comedor</v>
      </c>
      <c r="C64" s="1307">
        <v>10</v>
      </c>
      <c r="D64" s="285">
        <f t="shared" si="5"/>
        <v>0.1</v>
      </c>
      <c r="E64" s="259">
        <f>'3.10 - Inversiones'!G132</f>
        <v>88.146327108963618</v>
      </c>
      <c r="F64" s="259">
        <f t="shared" si="6"/>
        <v>8.8146327108963618</v>
      </c>
      <c r="G64" s="987">
        <v>2026</v>
      </c>
      <c r="H64" s="306">
        <f t="shared" si="12"/>
        <v>0</v>
      </c>
      <c r="I64" s="216">
        <f t="shared" si="13"/>
        <v>0</v>
      </c>
      <c r="J64" s="216">
        <f t="shared" si="14"/>
        <v>8.8146327108963618</v>
      </c>
      <c r="K64" s="216">
        <f t="shared" si="15"/>
        <v>8.8146327108963618</v>
      </c>
      <c r="L64" s="288">
        <f t="shared" si="16"/>
        <v>8.8146327108963618</v>
      </c>
    </row>
    <row r="65" spans="2:12">
      <c r="B65" s="51" t="str">
        <f>'3.10 - Inversiones'!B122</f>
        <v>Silla de comedor</v>
      </c>
      <c r="C65" s="1307">
        <v>10</v>
      </c>
      <c r="D65" s="285">
        <f t="shared" si="5"/>
        <v>0.1</v>
      </c>
      <c r="E65" s="259">
        <f>'3.10 - Inversiones'!G133</f>
        <v>19.588072690880797</v>
      </c>
      <c r="F65" s="259">
        <f t="shared" si="6"/>
        <v>1.9588072690880798</v>
      </c>
      <c r="G65" s="987">
        <v>2026</v>
      </c>
      <c r="H65" s="306">
        <f t="shared" si="12"/>
        <v>0</v>
      </c>
      <c r="I65" s="216">
        <f t="shared" si="13"/>
        <v>0</v>
      </c>
      <c r="J65" s="216">
        <f t="shared" si="14"/>
        <v>1.9588072690880798</v>
      </c>
      <c r="K65" s="216">
        <f t="shared" si="15"/>
        <v>1.9588072690880798</v>
      </c>
      <c r="L65" s="288">
        <f t="shared" si="16"/>
        <v>1.9588072690880798</v>
      </c>
    </row>
    <row r="66" spans="2:12">
      <c r="B66" s="51" t="str">
        <f>'3.10 - Inversiones'!$B$123</f>
        <v xml:space="preserve">Racks </v>
      </c>
      <c r="C66" s="1307">
        <v>10</v>
      </c>
      <c r="D66" s="285">
        <f t="shared" si="5"/>
        <v>0.1</v>
      </c>
      <c r="E66" s="259">
        <f>'3.10 - Inversiones'!$G$123</f>
        <v>13565.268508728181</v>
      </c>
      <c r="F66" s="259">
        <f t="shared" si="6"/>
        <v>1356.5268508728182</v>
      </c>
      <c r="G66" s="987">
        <v>2026</v>
      </c>
      <c r="H66" s="306">
        <f t="shared" ref="H66" si="22">IF(G66&lt;=$H$5,F66,0)</f>
        <v>0</v>
      </c>
      <c r="I66" s="216">
        <f t="shared" ref="I66" si="23">IF(G66&lt;=$I$5,F66,0)</f>
        <v>0</v>
      </c>
      <c r="J66" s="216">
        <f t="shared" ref="J66" si="24">IF(G66&lt;=$J$5,F66,0)</f>
        <v>1356.5268508728182</v>
      </c>
      <c r="K66" s="216">
        <f t="shared" ref="K66" si="25">IF(G66&lt;=$K$5,F66,0)</f>
        <v>1356.5268508728182</v>
      </c>
      <c r="L66" s="288">
        <f t="shared" ref="L66" si="26">IF(G66&lt;=$L$5,F66,0)</f>
        <v>1356.5268508728182</v>
      </c>
    </row>
    <row r="67" spans="2:12">
      <c r="B67" s="51" t="str">
        <f>'3.10 - Inversiones'!B124</f>
        <v xml:space="preserve">Guardarropa metalico </v>
      </c>
      <c r="C67" s="1307">
        <v>10</v>
      </c>
      <c r="D67" s="285">
        <f t="shared" si="5"/>
        <v>0.1</v>
      </c>
      <c r="E67" s="259">
        <f>'3.10 - Inversiones'!G134</f>
        <v>235.05687229056963</v>
      </c>
      <c r="F67" s="259">
        <f t="shared" si="6"/>
        <v>23.505687229056964</v>
      </c>
      <c r="G67" s="987">
        <v>2026</v>
      </c>
      <c r="H67" s="306">
        <f t="shared" si="12"/>
        <v>0</v>
      </c>
      <c r="I67" s="216">
        <f t="shared" si="13"/>
        <v>0</v>
      </c>
      <c r="J67" s="216">
        <f t="shared" si="14"/>
        <v>23.505687229056964</v>
      </c>
      <c r="K67" s="216">
        <f t="shared" si="15"/>
        <v>23.505687229056964</v>
      </c>
      <c r="L67" s="288">
        <f t="shared" si="16"/>
        <v>23.505687229056964</v>
      </c>
    </row>
    <row r="68" spans="2:12">
      <c r="B68" s="51" t="str">
        <f>'3.10 - Inversiones'!B132</f>
        <v>Kit de destornilladores</v>
      </c>
      <c r="C68" s="1307">
        <v>10</v>
      </c>
      <c r="D68" s="285">
        <f t="shared" si="5"/>
        <v>0.1</v>
      </c>
      <c r="E68" s="259">
        <f>'3.10 - Inversiones'!G135</f>
        <v>167.58684413309129</v>
      </c>
      <c r="F68" s="259">
        <f t="shared" si="6"/>
        <v>16.75868441330913</v>
      </c>
      <c r="G68" s="987">
        <v>2028</v>
      </c>
      <c r="H68" s="306">
        <f t="shared" si="12"/>
        <v>0</v>
      </c>
      <c r="I68" s="212">
        <f t="shared" si="13"/>
        <v>0</v>
      </c>
      <c r="J68" s="212">
        <f t="shared" si="14"/>
        <v>0</v>
      </c>
      <c r="K68" s="212">
        <f t="shared" si="15"/>
        <v>0</v>
      </c>
      <c r="L68" s="286">
        <f t="shared" si="16"/>
        <v>16.75868441330913</v>
      </c>
    </row>
    <row r="69" spans="2:12">
      <c r="B69" s="51" t="str">
        <f>'3.10 - Inversiones'!B133</f>
        <v>Kit de llaves combinadas</v>
      </c>
      <c r="C69" s="1307">
        <v>10</v>
      </c>
      <c r="D69" s="285">
        <f t="shared" si="5"/>
        <v>0.1</v>
      </c>
      <c r="E69" s="259">
        <f>'3.10 - Inversiones'!G136</f>
        <v>23.288041976936061</v>
      </c>
      <c r="F69" s="259">
        <f t="shared" si="6"/>
        <v>2.3288041976936062</v>
      </c>
      <c r="G69" s="987">
        <v>2028</v>
      </c>
      <c r="H69" s="306">
        <f t="shared" si="12"/>
        <v>0</v>
      </c>
      <c r="I69" s="212">
        <f t="shared" si="13"/>
        <v>0</v>
      </c>
      <c r="J69" s="212">
        <f t="shared" si="14"/>
        <v>0</v>
      </c>
      <c r="K69" s="212">
        <f t="shared" si="15"/>
        <v>0</v>
      </c>
      <c r="L69" s="286">
        <f t="shared" si="16"/>
        <v>2.3288041976936062</v>
      </c>
    </row>
    <row r="70" spans="2:12">
      <c r="B70" s="51" t="str">
        <f>'3.10 - Inversiones'!B134</f>
        <v xml:space="preserve">Kit de llaves tubos </v>
      </c>
      <c r="C70" s="1307">
        <v>5</v>
      </c>
      <c r="D70" s="285">
        <f t="shared" si="5"/>
        <v>0.2</v>
      </c>
      <c r="E70" s="259">
        <f>'3.10 - Inversiones'!G137</f>
        <v>721.49401078077608</v>
      </c>
      <c r="F70" s="259">
        <f t="shared" si="6"/>
        <v>144.29880215615523</v>
      </c>
      <c r="G70" s="987">
        <v>2028</v>
      </c>
      <c r="H70" s="306">
        <f t="shared" si="12"/>
        <v>0</v>
      </c>
      <c r="I70" s="212">
        <f t="shared" si="13"/>
        <v>0</v>
      </c>
      <c r="J70" s="212">
        <f t="shared" si="14"/>
        <v>0</v>
      </c>
      <c r="K70" s="212">
        <f t="shared" si="15"/>
        <v>0</v>
      </c>
      <c r="L70" s="286">
        <f t="shared" si="16"/>
        <v>144.29880215615523</v>
      </c>
    </row>
    <row r="71" spans="2:12">
      <c r="B71" s="51" t="str">
        <f>'3.10 - Inversiones'!B135</f>
        <v>Taladro - atornillador</v>
      </c>
      <c r="C71" s="1307">
        <v>10</v>
      </c>
      <c r="D71" s="285">
        <f t="shared" si="5"/>
        <v>0.1</v>
      </c>
      <c r="E71" s="259">
        <f>'3.10 - Inversiones'!G138</f>
        <v>261.1743025450773</v>
      </c>
      <c r="F71" s="259">
        <f t="shared" si="6"/>
        <v>26.117430254507731</v>
      </c>
      <c r="G71" s="987">
        <v>2028</v>
      </c>
      <c r="H71" s="306">
        <f t="shared" si="12"/>
        <v>0</v>
      </c>
      <c r="I71" s="212">
        <f t="shared" si="13"/>
        <v>0</v>
      </c>
      <c r="J71" s="212">
        <f t="shared" si="14"/>
        <v>0</v>
      </c>
      <c r="K71" s="212">
        <f t="shared" si="15"/>
        <v>0</v>
      </c>
      <c r="L71" s="286">
        <f t="shared" si="16"/>
        <v>26.117430254507731</v>
      </c>
    </row>
    <row r="72" spans="2:12">
      <c r="B72" s="51" t="str">
        <f>'3.10 - Inversiones'!B136</f>
        <v>Calibre digital</v>
      </c>
      <c r="C72" s="1307">
        <v>10</v>
      </c>
      <c r="D72" s="285">
        <f t="shared" si="5"/>
        <v>0.1</v>
      </c>
      <c r="E72" s="259">
        <f>'3.10 - Inversiones'!G139</f>
        <v>143.64586639979251</v>
      </c>
      <c r="F72" s="259">
        <f t="shared" si="6"/>
        <v>14.364586639979251</v>
      </c>
      <c r="G72" s="987">
        <v>2028</v>
      </c>
      <c r="H72" s="306">
        <f t="shared" si="12"/>
        <v>0</v>
      </c>
      <c r="I72" s="212">
        <f t="shared" si="13"/>
        <v>0</v>
      </c>
      <c r="J72" s="212">
        <f t="shared" si="14"/>
        <v>0</v>
      </c>
      <c r="K72" s="212">
        <f t="shared" si="15"/>
        <v>0</v>
      </c>
      <c r="L72" s="286">
        <f t="shared" si="16"/>
        <v>14.364586639979251</v>
      </c>
    </row>
    <row r="73" spans="2:12">
      <c r="B73" s="51" t="str">
        <f>'3.10 - Inversiones'!B137</f>
        <v xml:space="preserve">Notebook </v>
      </c>
      <c r="C73" s="1307">
        <v>5</v>
      </c>
      <c r="D73" s="285">
        <f t="shared" si="5"/>
        <v>0.2</v>
      </c>
      <c r="E73" s="259">
        <f>'3.10 - Inversiones'!G140</f>
        <v>178.46910673913618</v>
      </c>
      <c r="F73" s="259">
        <f t="shared" si="6"/>
        <v>35.693821347827239</v>
      </c>
      <c r="G73" s="987">
        <v>2028</v>
      </c>
      <c r="H73" s="306">
        <f t="shared" si="12"/>
        <v>0</v>
      </c>
      <c r="I73" s="212">
        <f t="shared" si="13"/>
        <v>0</v>
      </c>
      <c r="J73" s="212">
        <f t="shared" si="14"/>
        <v>0</v>
      </c>
      <c r="K73" s="212">
        <f t="shared" si="15"/>
        <v>0</v>
      </c>
      <c r="L73" s="286">
        <f t="shared" si="16"/>
        <v>35.693821347827239</v>
      </c>
    </row>
    <row r="74" spans="2:12">
      <c r="B74" s="51" t="str">
        <f>'3.10 - Inversiones'!B138</f>
        <v>Escritorio oficina</v>
      </c>
      <c r="C74" s="1307">
        <v>10</v>
      </c>
      <c r="D74" s="285">
        <f t="shared" si="5"/>
        <v>0.1</v>
      </c>
      <c r="E74" s="259">
        <f>'3.10 - Inversiones'!G141</f>
        <v>243.76268237540552</v>
      </c>
      <c r="F74" s="259">
        <f t="shared" si="6"/>
        <v>24.376268237540554</v>
      </c>
      <c r="G74" s="987">
        <v>2028</v>
      </c>
      <c r="H74" s="306">
        <f t="shared" si="12"/>
        <v>0</v>
      </c>
      <c r="I74" s="212">
        <f t="shared" si="13"/>
        <v>0</v>
      </c>
      <c r="J74" s="212">
        <f t="shared" si="14"/>
        <v>0</v>
      </c>
      <c r="K74" s="212">
        <f t="shared" si="15"/>
        <v>0</v>
      </c>
      <c r="L74" s="286">
        <f t="shared" si="16"/>
        <v>24.376268237540554</v>
      </c>
    </row>
    <row r="75" spans="2:12">
      <c r="B75" s="51" t="str">
        <f>'3.10 - Inversiones'!B139</f>
        <v>Sillas de escritorio</v>
      </c>
      <c r="C75" s="1307">
        <v>10</v>
      </c>
      <c r="D75" s="285">
        <f t="shared" si="5"/>
        <v>0.1</v>
      </c>
      <c r="E75" s="259">
        <f>'3.10 - Inversiones'!G142</f>
        <v>2082.2121270406287</v>
      </c>
      <c r="F75" s="259">
        <f t="shared" si="6"/>
        <v>208.22121270406288</v>
      </c>
      <c r="G75" s="987">
        <v>2028</v>
      </c>
      <c r="H75" s="306">
        <f>IF(G75&lt;=$H$5,F75,0)</f>
        <v>0</v>
      </c>
      <c r="I75" s="212">
        <f>IF(G75&lt;=$I$5,F75,0)</f>
        <v>0</v>
      </c>
      <c r="J75" s="212">
        <f>IF(G75&lt;=$J$5,F75,0)</f>
        <v>0</v>
      </c>
      <c r="K75" s="212">
        <f>IF(G75&lt;=$K$5,F75,0)</f>
        <v>0</v>
      </c>
      <c r="L75" s="286">
        <f>IF(G75&lt;=$L$5,F75,0)</f>
        <v>208.22121270406288</v>
      </c>
    </row>
    <row r="76" spans="2:12">
      <c r="B76" s="51" t="str">
        <f>'3.10 - Inversiones'!B140</f>
        <v>Elementos de oficina (informatica)</v>
      </c>
      <c r="C76" s="1307">
        <v>10</v>
      </c>
      <c r="D76" s="285">
        <f t="shared" si="5"/>
        <v>0.1</v>
      </c>
      <c r="E76" s="259">
        <f>'3.10 - Inversiones'!G143</f>
        <v>0</v>
      </c>
      <c r="F76" s="259">
        <f>E76*D76</f>
        <v>0</v>
      </c>
      <c r="G76" s="987">
        <v>2028</v>
      </c>
      <c r="H76" s="306">
        <f>IF(G76&lt;=$H$5,F76,0)</f>
        <v>0</v>
      </c>
      <c r="I76" s="212">
        <f>IF(G76&lt;=$I$5,F76,0)</f>
        <v>0</v>
      </c>
      <c r="J76" s="212">
        <f>IF(G76&lt;=$J$5,F76,0)</f>
        <v>0</v>
      </c>
      <c r="K76" s="212">
        <f>IF(G76&lt;=$K$5,F76,0)</f>
        <v>0</v>
      </c>
      <c r="L76" s="286">
        <f>IF(G76&lt;=$L$5,F76,0)</f>
        <v>0</v>
      </c>
    </row>
    <row r="77" spans="2:12" ht="15" thickBot="1">
      <c r="B77" s="32" t="str">
        <f>'3.10 - Inversiones'!B141</f>
        <v>Elementos de oficina (Librería)</v>
      </c>
      <c r="C77" s="1308">
        <v>10</v>
      </c>
      <c r="D77" s="287">
        <f t="shared" si="5"/>
        <v>0.1</v>
      </c>
      <c r="E77" s="1157">
        <f>'3.10 - Inversiones'!G144</f>
        <v>0</v>
      </c>
      <c r="F77" s="1157">
        <f>E77*D77</f>
        <v>0</v>
      </c>
      <c r="G77" s="1158">
        <v>2028</v>
      </c>
      <c r="H77" s="307">
        <f>IF(G77&lt;=$H$5,F77,0)</f>
        <v>0</v>
      </c>
      <c r="I77" s="215">
        <f>IF(G77&lt;=$I$5,F77,0)</f>
        <v>0</v>
      </c>
      <c r="J77" s="215">
        <f>IF(G77&lt;=$J$5,F77,0)</f>
        <v>0</v>
      </c>
      <c r="K77" s="215">
        <f>IF(G77&lt;=$K$5,F77,0)</f>
        <v>0</v>
      </c>
      <c r="L77" s="990">
        <f>IF(G77&lt;=$L$5,F77,0)</f>
        <v>0</v>
      </c>
    </row>
    <row r="78" spans="2:12" ht="15" thickBot="1">
      <c r="G78" s="1159" t="s">
        <v>1223</v>
      </c>
      <c r="H78" s="1160">
        <f>SUM(H6:H77)</f>
        <v>20878.162111388196</v>
      </c>
      <c r="I78" s="1160">
        <f>SUM(I6:I77)</f>
        <v>20878.162111388196</v>
      </c>
      <c r="J78" s="1160">
        <f t="shared" ref="J78:L78" si="27">SUM(J6:J77)</f>
        <v>33260.836398058593</v>
      </c>
      <c r="K78" s="1160">
        <f t="shared" si="27"/>
        <v>33260.836398058593</v>
      </c>
      <c r="L78" s="1161">
        <f t="shared" si="27"/>
        <v>33732.996008009664</v>
      </c>
    </row>
    <row r="84" spans="18:18">
      <c r="R84" s="211"/>
    </row>
  </sheetData>
  <mergeCells count="1">
    <mergeCell ref="H4:L4"/>
  </mergeCells>
  <hyperlinks>
    <hyperlink ref="C2" location="Indice!A1" display="INDICE" xr:uid="{00000000-0004-0000-1C00-000000000000}"/>
  </hyperlink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92D050"/>
  </sheetPr>
  <dimension ref="B1:L26"/>
  <sheetViews>
    <sheetView showGridLines="0" zoomScale="85" zoomScaleNormal="85" workbookViewId="0">
      <selection activeCell="C2" sqref="C2"/>
    </sheetView>
  </sheetViews>
  <sheetFormatPr defaultColWidth="8.85546875" defaultRowHeight="14.45"/>
  <cols>
    <col min="1" max="1" width="6.140625" customWidth="1"/>
    <col min="2" max="2" width="47.85546875" bestFit="1" customWidth="1"/>
    <col min="3" max="3" width="20.7109375" customWidth="1"/>
    <col min="4" max="4" width="10.7109375" customWidth="1"/>
    <col min="5" max="5" width="20.7109375" customWidth="1"/>
    <col min="6" max="6" width="10.7109375" customWidth="1"/>
    <col min="7" max="7" width="20.7109375" customWidth="1"/>
    <col min="8" max="8" width="10.7109375" customWidth="1"/>
    <col min="9" max="9" width="20.7109375" customWidth="1"/>
    <col min="10" max="10" width="10.7109375" customWidth="1"/>
    <col min="11" max="11" width="20.7109375" customWidth="1"/>
    <col min="12" max="12" width="10.7109375" customWidth="1"/>
  </cols>
  <sheetData>
    <row r="1" spans="2:12">
      <c r="K1" s="256"/>
    </row>
    <row r="2" spans="2:12">
      <c r="B2" s="1305" t="s">
        <v>126</v>
      </c>
      <c r="C2" s="337" t="s">
        <v>49</v>
      </c>
      <c r="D2" s="337"/>
    </row>
    <row r="3" spans="2:12" ht="15" thickBot="1"/>
    <row r="4" spans="2:12" ht="19.899999999999999" customHeight="1" thickBot="1">
      <c r="B4" s="1339" t="s">
        <v>1224</v>
      </c>
      <c r="C4" s="1538">
        <v>2024</v>
      </c>
      <c r="D4" s="1540"/>
      <c r="E4" s="1539">
        <v>2025</v>
      </c>
      <c r="F4" s="1539"/>
      <c r="G4" s="1538">
        <v>2026</v>
      </c>
      <c r="H4" s="1539"/>
      <c r="I4" s="1538">
        <v>2027</v>
      </c>
      <c r="J4" s="1540"/>
      <c r="K4" s="1538">
        <v>2028</v>
      </c>
      <c r="L4" s="1540"/>
    </row>
    <row r="5" spans="2:12">
      <c r="B5" s="238" t="s">
        <v>1143</v>
      </c>
      <c r="C5" s="359">
        <f>'1.5 - Proyeccion demanda'!D112*'1.6 - Politica de precio'!D45</f>
        <v>292796.4040077221</v>
      </c>
      <c r="D5" s="369">
        <f>C5/$C$5</f>
        <v>1</v>
      </c>
      <c r="E5" s="353">
        <f>'1.5 - Proyeccion demanda'!D113*'1.6 - Politica de precio'!D46</f>
        <v>1310369.0512915982</v>
      </c>
      <c r="F5" s="369">
        <f>E5/$E$5</f>
        <v>1</v>
      </c>
      <c r="G5" s="359">
        <f>'1.5 - Proyeccion demanda'!D114*'1.6 - Politica de precio'!D47</f>
        <v>2198157.5151047944</v>
      </c>
      <c r="H5" s="555">
        <f>G5/$G$5</f>
        <v>1</v>
      </c>
      <c r="I5" s="359">
        <f>'1.5 - Proyeccion demanda'!D115*'1.6 - Politica de precio'!D48</f>
        <v>3269656.1776738288</v>
      </c>
      <c r="J5" s="516">
        <f>I5/$I$5</f>
        <v>1</v>
      </c>
      <c r="K5" s="359">
        <f>'1.5 - Proyeccion demanda'!D116*'1.6 - Politica de precio'!D49</f>
        <v>4549315.250492122</v>
      </c>
      <c r="L5" s="516">
        <f>K5/$K$5</f>
        <v>1</v>
      </c>
    </row>
    <row r="6" spans="2:12" ht="15" customHeight="1">
      <c r="B6" s="237" t="s">
        <v>1225</v>
      </c>
      <c r="C6" s="360">
        <f>'1.5 - Proyeccion demanda'!D112*'3.9 - Costeo por absorcion'!G5</f>
        <v>200563.340961448</v>
      </c>
      <c r="D6" s="370">
        <f t="shared" ref="D6:D20" si="0">C6/$C$5</f>
        <v>0.68499250064614325</v>
      </c>
      <c r="E6" s="354">
        <f>'1.5 - Proyeccion demanda'!D113*'3.9 - Costeo por absorcion'!G6</f>
        <v>756084.9888246468</v>
      </c>
      <c r="F6" s="370">
        <f t="shared" ref="F6:F20" si="1">E6/$E$5</f>
        <v>0.57700156156724902</v>
      </c>
      <c r="G6" s="360">
        <f>'1.5 - Proyeccion demanda'!D114*'3.9 - Costeo por absorcion'!G7</f>
        <v>1176530.139793711</v>
      </c>
      <c r="H6" s="556">
        <f t="shared" ref="H6:H20" si="2">G6/$G$5</f>
        <v>0.53523468255077322</v>
      </c>
      <c r="I6" s="360">
        <f>'1.5 - Proyeccion demanda'!D115*'3.9 - Costeo por absorcion'!G8</f>
        <v>1643472.3066020336</v>
      </c>
      <c r="J6" s="517">
        <f t="shared" ref="J6:J20" si="3">I6/$I$5</f>
        <v>0.5026437696489755</v>
      </c>
      <c r="K6" s="360">
        <f>'1.5 - Proyeccion demanda'!D116*'3.9 - Costeo por absorcion'!G9</f>
        <v>2212112.1425214689</v>
      </c>
      <c r="L6" s="517">
        <f t="shared" ref="L6:L20" si="4">K6/$K$5</f>
        <v>0.4862516710140441</v>
      </c>
    </row>
    <row r="7" spans="2:12">
      <c r="B7" s="366" t="s">
        <v>1226</v>
      </c>
      <c r="C7" s="361">
        <f>C5-C6</f>
        <v>92233.063046274096</v>
      </c>
      <c r="D7" s="371">
        <f t="shared" si="0"/>
        <v>0.31500749935385675</v>
      </c>
      <c r="E7" s="355">
        <f t="shared" ref="E7:K7" si="5">E5-E6</f>
        <v>554284.06246695144</v>
      </c>
      <c r="F7" s="371">
        <f t="shared" si="1"/>
        <v>0.42299843843275098</v>
      </c>
      <c r="G7" s="361">
        <f t="shared" si="5"/>
        <v>1021627.3753110834</v>
      </c>
      <c r="H7" s="557">
        <f t="shared" si="2"/>
        <v>0.46476531744922683</v>
      </c>
      <c r="I7" s="361">
        <f t="shared" si="5"/>
        <v>1626183.8710717952</v>
      </c>
      <c r="J7" s="518">
        <f t="shared" si="3"/>
        <v>0.49735623035102455</v>
      </c>
      <c r="K7" s="361">
        <f t="shared" si="5"/>
        <v>2337203.1079706531</v>
      </c>
      <c r="L7" s="518">
        <f t="shared" si="4"/>
        <v>0.5137483289859559</v>
      </c>
    </row>
    <row r="8" spans="2:12">
      <c r="B8" s="237" t="s">
        <v>1227</v>
      </c>
      <c r="C8" s="362">
        <f>'3.8 - Costos CCP '!D12</f>
        <v>44912.78119842973</v>
      </c>
      <c r="D8" s="370">
        <f t="shared" si="0"/>
        <v>0.15339253004365866</v>
      </c>
      <c r="E8" s="300">
        <f>'3.8 - Costos CCP '!F12</f>
        <v>86284.845415974414</v>
      </c>
      <c r="F8" s="370">
        <f t="shared" si="1"/>
        <v>6.5847743680244569E-2</v>
      </c>
      <c r="G8" s="362">
        <f>'3.8 - Costos CCP '!H12</f>
        <v>96148.787714070495</v>
      </c>
      <c r="H8" s="556">
        <f t="shared" si="2"/>
        <v>4.3740626890192043E-2</v>
      </c>
      <c r="I8" s="362">
        <f>'3.8 - Costos CCP '!J12</f>
        <v>98264.06104378005</v>
      </c>
      <c r="J8" s="517">
        <f t="shared" si="3"/>
        <v>3.005333151380132E-2</v>
      </c>
      <c r="K8" s="362">
        <f>'3.8 - Costos CCP '!L12</f>
        <v>144840.13536271825</v>
      </c>
      <c r="L8" s="517">
        <f t="shared" si="4"/>
        <v>3.1837788191761425E-2</v>
      </c>
    </row>
    <row r="9" spans="2:12">
      <c r="B9" s="237" t="s">
        <v>1228</v>
      </c>
      <c r="C9" s="360">
        <f>'3.11 - Presupuesto gastos'!D26</f>
        <v>221740.77448730191</v>
      </c>
      <c r="D9" s="370">
        <f t="shared" si="0"/>
        <v>0.75732068923036977</v>
      </c>
      <c r="E9" s="354">
        <f>'3.11 - Presupuesto gastos'!F26</f>
        <v>247206.94831055973</v>
      </c>
      <c r="F9" s="370">
        <f t="shared" si="1"/>
        <v>0.18865444667431208</v>
      </c>
      <c r="G9" s="360">
        <f>'3.11 - Presupuesto gastos'!H26</f>
        <v>319470.88227776357</v>
      </c>
      <c r="H9" s="556">
        <f t="shared" si="2"/>
        <v>0.14533575509602786</v>
      </c>
      <c r="I9" s="360">
        <f>'3.11 - Presupuesto gastos'!J26</f>
        <v>353745.76063315076</v>
      </c>
      <c r="J9" s="517">
        <f t="shared" si="3"/>
        <v>0.10819050732264467</v>
      </c>
      <c r="K9" s="360">
        <f>'3.11 - Presupuesto gastos'!L26</f>
        <v>385837.38614512392</v>
      </c>
      <c r="L9" s="517">
        <f t="shared" si="4"/>
        <v>8.4812189285714143E-2</v>
      </c>
    </row>
    <row r="10" spans="2:12">
      <c r="B10" s="366" t="s">
        <v>1229</v>
      </c>
      <c r="C10" s="361">
        <f>C7-C8-C9</f>
        <v>-174420.49263945755</v>
      </c>
      <c r="D10" s="371">
        <f t="shared" si="0"/>
        <v>-0.59570571992017174</v>
      </c>
      <c r="E10" s="355">
        <f t="shared" ref="E10:K10" si="6">E7-E8-E9</f>
        <v>220792.26874041732</v>
      </c>
      <c r="F10" s="371">
        <f t="shared" si="1"/>
        <v>0.16849624807819436</v>
      </c>
      <c r="G10" s="361">
        <f t="shared" si="6"/>
        <v>606007.7053192493</v>
      </c>
      <c r="H10" s="557">
        <f t="shared" si="2"/>
        <v>0.27568893546300693</v>
      </c>
      <c r="I10" s="361">
        <f t="shared" si="6"/>
        <v>1174174.0493948644</v>
      </c>
      <c r="J10" s="518">
        <f t="shared" si="3"/>
        <v>0.35911239151457852</v>
      </c>
      <c r="K10" s="361">
        <f t="shared" si="6"/>
        <v>1806525.5864628109</v>
      </c>
      <c r="L10" s="518">
        <f t="shared" si="4"/>
        <v>0.39709835150848033</v>
      </c>
    </row>
    <row r="11" spans="2:12">
      <c r="B11" s="237" t="s">
        <v>1094</v>
      </c>
      <c r="C11" s="362">
        <f>'4.4 - Amortizaciones'!H78</f>
        <v>20878.162111388196</v>
      </c>
      <c r="D11" s="370">
        <f t="shared" si="0"/>
        <v>7.1306074205875702E-2</v>
      </c>
      <c r="E11" s="300">
        <f>'4.4 - Amortizaciones'!I78</f>
        <v>20878.162111388196</v>
      </c>
      <c r="F11" s="370">
        <f t="shared" si="1"/>
        <v>1.5933039696571824E-2</v>
      </c>
      <c r="G11" s="362">
        <f>'4.4 - Amortizaciones'!J78</f>
        <v>33260.836398058593</v>
      </c>
      <c r="H11" s="556">
        <f t="shared" si="2"/>
        <v>1.5131234303958843E-2</v>
      </c>
      <c r="I11" s="362">
        <f>'4.4 - Amortizaciones'!K78</f>
        <v>33260.836398058593</v>
      </c>
      <c r="J11" s="517">
        <f t="shared" si="3"/>
        <v>1.0172579192018211E-2</v>
      </c>
      <c r="K11" s="362">
        <f>'4.4 - Amortizaciones'!L78</f>
        <v>33732.996008009664</v>
      </c>
      <c r="L11" s="517">
        <f t="shared" si="4"/>
        <v>7.4149611866006866E-3</v>
      </c>
    </row>
    <row r="12" spans="2:12">
      <c r="B12" s="366" t="s">
        <v>1230</v>
      </c>
      <c r="C12" s="361">
        <f>C10-C11</f>
        <v>-195298.65475084574</v>
      </c>
      <c r="D12" s="371">
        <f t="shared" si="0"/>
        <v>-0.66701179412604739</v>
      </c>
      <c r="E12" s="355">
        <f t="shared" ref="E12:K12" si="7">E10-E11</f>
        <v>199914.10662902912</v>
      </c>
      <c r="F12" s="371">
        <f t="shared" si="1"/>
        <v>0.15256320838162252</v>
      </c>
      <c r="G12" s="361">
        <f t="shared" si="7"/>
        <v>572746.86892119073</v>
      </c>
      <c r="H12" s="557">
        <f t="shared" si="2"/>
        <v>0.26055770115904808</v>
      </c>
      <c r="I12" s="361">
        <f t="shared" si="7"/>
        <v>1140913.2129968058</v>
      </c>
      <c r="J12" s="518">
        <f t="shared" si="3"/>
        <v>0.34893981232256033</v>
      </c>
      <c r="K12" s="361">
        <f t="shared" si="7"/>
        <v>1772792.5904548012</v>
      </c>
      <c r="L12" s="518">
        <f t="shared" si="4"/>
        <v>0.38968339032187965</v>
      </c>
    </row>
    <row r="13" spans="2:12">
      <c r="B13" s="237" t="s">
        <v>1231</v>
      </c>
      <c r="C13" s="368">
        <f>'4.3 - Financiación'!$E$72</f>
        <v>393254.28</v>
      </c>
      <c r="D13" s="372">
        <f>C13/$C$5</f>
        <v>1.3430980524939387</v>
      </c>
      <c r="E13" s="300">
        <f>'4.3 - Financiación'!$E$84</f>
        <v>60566.879999999983</v>
      </c>
      <c r="F13" s="372">
        <f>E13/$E$5</f>
        <v>4.6221238162104571E-2</v>
      </c>
      <c r="G13" s="362">
        <f>'4.3 - Financiación'!$E$96</f>
        <v>60566.879999999983</v>
      </c>
      <c r="H13" s="1156">
        <f t="shared" si="2"/>
        <v>2.755347584684464E-2</v>
      </c>
      <c r="I13" s="362">
        <f>'4.3 - Financiación'!$E$108</f>
        <v>60566.879999999983</v>
      </c>
      <c r="J13" s="519">
        <f t="shared" si="3"/>
        <v>1.8523929339594909E-2</v>
      </c>
      <c r="K13" s="362">
        <f>'4.3 - Financiación'!$E$120</f>
        <v>0</v>
      </c>
      <c r="L13" s="519">
        <f t="shared" si="4"/>
        <v>0</v>
      </c>
    </row>
    <row r="14" spans="2:12">
      <c r="B14" s="237" t="s">
        <v>1232</v>
      </c>
      <c r="C14" s="363">
        <f>C5*0.015</f>
        <v>4391.9460601158316</v>
      </c>
      <c r="D14" s="372">
        <f>C14/$C$5</f>
        <v>1.5000000000000001E-2</v>
      </c>
      <c r="E14" s="356">
        <f>E5*0.015</f>
        <v>19655.535769373972</v>
      </c>
      <c r="F14" s="372">
        <f>E14/$E$5</f>
        <v>1.4999999999999998E-2</v>
      </c>
      <c r="G14" s="363">
        <f>G5*0.015</f>
        <v>32972.362726571911</v>
      </c>
      <c r="H14" s="1156">
        <f>G14/$G$5</f>
        <v>1.4999999999999998E-2</v>
      </c>
      <c r="I14" s="363">
        <f>I5*0.015</f>
        <v>49044.842665107433</v>
      </c>
      <c r="J14" s="519">
        <f>I14/$I$5</f>
        <v>1.5000000000000001E-2</v>
      </c>
      <c r="K14" s="363">
        <f>K5*0.015</f>
        <v>68239.728757381832</v>
      </c>
      <c r="L14" s="519">
        <f>K14/$K$5</f>
        <v>1.5000000000000001E-2</v>
      </c>
    </row>
    <row r="15" spans="2:12">
      <c r="B15" s="366" t="s">
        <v>1233</v>
      </c>
      <c r="C15" s="361">
        <f>C12-C13-C14</f>
        <v>-592944.88081096159</v>
      </c>
      <c r="D15" s="1255">
        <f t="shared" ref="D15:D18" si="8">C15/$C$5</f>
        <v>-2.0251098466199862</v>
      </c>
      <c r="E15" s="1254">
        <f>E12-E13-E14</f>
        <v>119691.69085965518</v>
      </c>
      <c r="F15" s="1255">
        <f t="shared" ref="F15:F18" si="9">E15/$E$5</f>
        <v>9.1341970219517968E-2</v>
      </c>
      <c r="G15" s="1254">
        <f>G12-G13-G14</f>
        <v>479207.62619461882</v>
      </c>
      <c r="H15" s="1256">
        <f t="shared" ref="H15:H18" si="10">G15/$G$5</f>
        <v>0.21800422531220343</v>
      </c>
      <c r="I15" s="1254">
        <f>I12-I13-I14</f>
        <v>1031301.4903316984</v>
      </c>
      <c r="J15" s="1257">
        <f t="shared" ref="J15:J18" si="11">I15/$I$5</f>
        <v>0.31541588298296547</v>
      </c>
      <c r="K15" s="1254">
        <f>K12-K13-K14</f>
        <v>1704552.8616974193</v>
      </c>
      <c r="L15" s="1257">
        <f t="shared" ref="L15:L18" si="12">K15/$K$5</f>
        <v>0.37468339032187964</v>
      </c>
    </row>
    <row r="16" spans="2:12">
      <c r="B16" s="237" t="s">
        <v>1161</v>
      </c>
      <c r="C16" s="368">
        <f>IF(AND((C15)&gt;0,(C15)&lt;34617),(C15)*0.25,0)</f>
        <v>0</v>
      </c>
      <c r="D16" s="372">
        <f t="shared" si="8"/>
        <v>0</v>
      </c>
      <c r="E16" s="368">
        <f>IF(AND((E15)&gt;0,(E15)&lt;34617),(E15)*0.25,0)</f>
        <v>0</v>
      </c>
      <c r="F16" s="372">
        <f t="shared" si="9"/>
        <v>0</v>
      </c>
      <c r="G16" s="368">
        <f>IF(AND((G15)&gt;0,(G15)&lt;34617),(G15)*0.25,0)</f>
        <v>0</v>
      </c>
      <c r="H16" s="1156">
        <f t="shared" si="10"/>
        <v>0</v>
      </c>
      <c r="I16" s="368">
        <f>IF(AND((I15)&gt;0,(I15)&lt;34617),(I15)*0.25,0)</f>
        <v>0</v>
      </c>
      <c r="J16" s="519">
        <f t="shared" si="11"/>
        <v>0</v>
      </c>
      <c r="K16" s="368">
        <f>IF(AND((K15)&gt;0,(K15)&lt;34617),(K15)*0.25,0)</f>
        <v>0</v>
      </c>
      <c r="L16" s="519">
        <f t="shared" si="12"/>
        <v>0</v>
      </c>
    </row>
    <row r="17" spans="2:12">
      <c r="B17" s="237" t="s">
        <v>1162</v>
      </c>
      <c r="C17" s="368">
        <f>IF(AND((C15)&gt;34617,(C15)&lt;346170),(C15-34617)*0.3+8655,0)</f>
        <v>0</v>
      </c>
      <c r="D17" s="372">
        <f t="shared" si="8"/>
        <v>0</v>
      </c>
      <c r="E17" s="368">
        <f>IF(AND((E15)&gt;34617,(E15)&lt;346170),(E15-34617)*0.3+8655,0)</f>
        <v>34177.407257896557</v>
      </c>
      <c r="F17" s="372">
        <f t="shared" si="9"/>
        <v>2.6082276000191501E-2</v>
      </c>
      <c r="G17" s="368">
        <f>IF(AND((G15)&gt;34617,(G15)&lt;346170),(G15-34617)*0.3+8655,0)</f>
        <v>0</v>
      </c>
      <c r="H17" s="1156">
        <f t="shared" si="10"/>
        <v>0</v>
      </c>
      <c r="I17" s="368">
        <f>IF(AND((I15)&gt;34617,(I15)&lt;346170),(I15-34617)*0.3+8655,0)</f>
        <v>0</v>
      </c>
      <c r="J17" s="519">
        <f t="shared" si="11"/>
        <v>0</v>
      </c>
      <c r="K17" s="368">
        <f>IF(AND((K15)&gt;34617,(K15)&lt;346170),(K15-34617)*0.3+8655,0)</f>
        <v>0</v>
      </c>
      <c r="L17" s="519">
        <f t="shared" si="12"/>
        <v>0</v>
      </c>
    </row>
    <row r="18" spans="2:12">
      <c r="B18" s="237" t="s">
        <v>1163</v>
      </c>
      <c r="C18" s="368">
        <f>IF((C15)&gt;346170,(C15-346170)*0.35+102120,0)</f>
        <v>0</v>
      </c>
      <c r="D18" s="372">
        <f t="shared" si="8"/>
        <v>0</v>
      </c>
      <c r="E18" s="368">
        <f>IF((E15)&gt;346170,(E15-346170)*0.35+102120,0)</f>
        <v>0</v>
      </c>
      <c r="F18" s="372">
        <f t="shared" si="9"/>
        <v>0</v>
      </c>
      <c r="G18" s="368">
        <f>IF((G15)&gt;346170,(G15-346170)*0.35+102120,0)</f>
        <v>148683.16916811658</v>
      </c>
      <c r="H18" s="1156">
        <f t="shared" si="10"/>
        <v>6.763990667021344E-2</v>
      </c>
      <c r="I18" s="368">
        <f>IF((I15)&gt;346170,(I15-346170)*0.35+102120,0)</f>
        <v>341916.0216160944</v>
      </c>
      <c r="J18" s="519">
        <f t="shared" si="11"/>
        <v>0.10457246971433794</v>
      </c>
      <c r="K18" s="368">
        <f>IF((K15)&gt;346170,(K15-346170)*0.35+102120,0)</f>
        <v>577554.00159409666</v>
      </c>
      <c r="L18" s="519">
        <f t="shared" si="12"/>
        <v>0.12695405127873249</v>
      </c>
    </row>
    <row r="19" spans="2:12">
      <c r="B19" s="366" t="s">
        <v>1234</v>
      </c>
      <c r="C19" s="364">
        <f>C15-(SUM(C16:C18))</f>
        <v>-592944.88081096159</v>
      </c>
      <c r="D19" s="371">
        <f t="shared" si="0"/>
        <v>-2.0251098466199862</v>
      </c>
      <c r="E19" s="357">
        <f>E15-(SUM(E16:E18))</f>
        <v>85514.283601758623</v>
      </c>
      <c r="F19" s="371">
        <f t="shared" si="1"/>
        <v>6.5259694219326467E-2</v>
      </c>
      <c r="G19" s="364">
        <f>G15-(SUM(G16:G18))</f>
        <v>330524.45702650223</v>
      </c>
      <c r="H19" s="557">
        <f t="shared" si="2"/>
        <v>0.15036431864198999</v>
      </c>
      <c r="I19" s="364">
        <f>I15-(SUM(I16:I18))</f>
        <v>689385.46871560405</v>
      </c>
      <c r="J19" s="518">
        <f t="shared" si="3"/>
        <v>0.21084341326862752</v>
      </c>
      <c r="K19" s="364">
        <f>K15-(SUM(K16:K18))</f>
        <v>1126998.8601033227</v>
      </c>
      <c r="L19" s="518">
        <f t="shared" si="4"/>
        <v>0.24772933904314712</v>
      </c>
    </row>
    <row r="20" spans="2:12" ht="15" thickBot="1">
      <c r="B20" s="367" t="s">
        <v>679</v>
      </c>
      <c r="C20" s="365">
        <f>C19</f>
        <v>-592944.88081096159</v>
      </c>
      <c r="D20" s="373">
        <f t="shared" si="0"/>
        <v>-2.0251098466199862</v>
      </c>
      <c r="E20" s="358">
        <f>E19+C20</f>
        <v>-507430.59720920294</v>
      </c>
      <c r="F20" s="373">
        <f t="shared" si="1"/>
        <v>-0.38724250752796796</v>
      </c>
      <c r="G20" s="365">
        <f>G19+E20</f>
        <v>-176906.14018270071</v>
      </c>
      <c r="H20" s="558">
        <f t="shared" si="2"/>
        <v>-8.0479282747973099E-2</v>
      </c>
      <c r="I20" s="365">
        <f>I19+G20</f>
        <v>512479.32853290334</v>
      </c>
      <c r="J20" s="520">
        <f t="shared" si="3"/>
        <v>0.15673798732486385</v>
      </c>
      <c r="K20" s="365">
        <f>K19+I20</f>
        <v>1639478.1886362261</v>
      </c>
      <c r="L20" s="520">
        <f t="shared" si="4"/>
        <v>0.36037911166056819</v>
      </c>
    </row>
    <row r="22" spans="2:12">
      <c r="K22" s="267"/>
    </row>
    <row r="26" spans="2:12">
      <c r="E26" s="211"/>
    </row>
  </sheetData>
  <mergeCells count="5">
    <mergeCell ref="C4:D4"/>
    <mergeCell ref="E4:F4"/>
    <mergeCell ref="G4:H4"/>
    <mergeCell ref="I4:J4"/>
    <mergeCell ref="K4:L4"/>
  </mergeCells>
  <hyperlinks>
    <hyperlink ref="C2" location="Indice!A1" display="INDICE" xr:uid="{00000000-0004-0000-1D00-000000000000}"/>
  </hyperlink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92D050"/>
  </sheetPr>
  <dimension ref="B1:AA27"/>
  <sheetViews>
    <sheetView showGridLines="0" zoomScale="85" zoomScaleNormal="85" workbookViewId="0">
      <selection activeCell="AG12" sqref="AG12"/>
    </sheetView>
  </sheetViews>
  <sheetFormatPr defaultColWidth="9.28515625" defaultRowHeight="14.45"/>
  <cols>
    <col min="1" max="1" width="9.5703125" customWidth="1"/>
    <col min="2" max="2" width="6.42578125" customWidth="1"/>
    <col min="3" max="3" width="20.7109375" style="161" bestFit="1" customWidth="1"/>
    <col min="4" max="4" width="4.28515625" style="351" customWidth="1"/>
    <col min="5" max="5" width="4.28515625" style="352" customWidth="1"/>
    <col min="6" max="6" width="4.28515625" style="351" customWidth="1"/>
    <col min="7" max="7" width="4.28515625" style="352" customWidth="1"/>
    <col min="8" max="8" width="4.28515625" style="351" customWidth="1"/>
    <col min="9" max="9" width="4.28515625" style="352" customWidth="1"/>
    <col min="10" max="10" width="4.28515625" style="351" customWidth="1"/>
    <col min="11" max="11" width="4.28515625" style="352" customWidth="1"/>
    <col min="12" max="12" width="4.28515625" style="351" customWidth="1"/>
    <col min="13" max="13" width="4.28515625" style="352" customWidth="1"/>
    <col min="14" max="14" width="4.28515625" style="351" customWidth="1"/>
    <col min="15" max="15" width="5.140625" style="352" customWidth="1"/>
    <col min="16" max="16" width="4.28515625" style="351" customWidth="1"/>
    <col min="17" max="17" width="4.28515625" style="352" customWidth="1"/>
    <col min="18" max="18" width="4.28515625" style="351" customWidth="1"/>
    <col min="19" max="19" width="4.28515625" style="352" customWidth="1"/>
    <col min="20" max="20" width="4.28515625" style="351" customWidth="1"/>
    <col min="21" max="21" width="4.28515625" style="352" customWidth="1"/>
    <col min="22" max="22" width="4.28515625" style="351" customWidth="1"/>
    <col min="23" max="23" width="4.28515625" style="352" customWidth="1"/>
    <col min="24" max="26" width="4.7109375" customWidth="1"/>
    <col min="27" max="27" width="5.28515625" customWidth="1"/>
  </cols>
  <sheetData>
    <row r="1" spans="2:27" ht="15" customHeight="1">
      <c r="B1" s="340"/>
      <c r="C1" s="341"/>
      <c r="D1" s="342"/>
      <c r="E1" s="343"/>
      <c r="F1" s="342"/>
      <c r="G1" s="343"/>
      <c r="H1" s="344"/>
      <c r="I1" s="345"/>
      <c r="J1" s="346"/>
      <c r="K1" s="1820"/>
      <c r="L1" s="1820"/>
      <c r="M1" s="347"/>
      <c r="N1" s="346"/>
      <c r="O1" s="347"/>
      <c r="P1" s="346"/>
      <c r="Q1" s="347"/>
      <c r="R1" s="346"/>
      <c r="S1" s="347"/>
      <c r="T1" s="346"/>
      <c r="U1" s="347"/>
      <c r="V1" s="346"/>
      <c r="W1" s="347"/>
      <c r="Y1" s="1378"/>
      <c r="Z1" s="1378"/>
      <c r="AA1" s="1378"/>
    </row>
    <row r="2" spans="2:27" ht="15" customHeight="1">
      <c r="B2" s="340"/>
      <c r="C2" s="1305" t="s">
        <v>126</v>
      </c>
      <c r="D2" s="337" t="s">
        <v>49</v>
      </c>
      <c r="E2" s="343"/>
      <c r="F2" s="342"/>
      <c r="G2" s="343"/>
      <c r="H2" s="344"/>
      <c r="I2" s="345"/>
      <c r="J2" s="346"/>
      <c r="K2" s="1378"/>
      <c r="L2" s="1378"/>
      <c r="M2" s="347"/>
      <c r="N2" s="346"/>
      <c r="O2" s="347"/>
      <c r="P2" s="346"/>
      <c r="Q2" s="347"/>
      <c r="R2" s="346"/>
      <c r="S2" s="347"/>
      <c r="T2" s="346"/>
      <c r="U2" s="347"/>
      <c r="V2" s="346"/>
      <c r="W2" s="347"/>
      <c r="Y2" s="1378"/>
      <c r="Z2" s="1378"/>
      <c r="AA2" s="1378"/>
    </row>
    <row r="3" spans="2:27" ht="15" customHeight="1" thickBot="1">
      <c r="B3" s="340"/>
      <c r="C3" s="341"/>
      <c r="D3" s="342"/>
      <c r="E3" s="343"/>
      <c r="F3" s="342"/>
      <c r="G3" s="343"/>
      <c r="H3" s="344"/>
      <c r="I3" s="345"/>
      <c r="J3" s="346"/>
      <c r="K3" s="1378"/>
      <c r="L3" s="1378"/>
      <c r="M3" s="347"/>
      <c r="N3" s="346"/>
      <c r="O3" s="347"/>
      <c r="P3" s="346"/>
      <c r="Q3" s="347"/>
      <c r="R3" s="346"/>
      <c r="S3" s="347"/>
      <c r="T3" s="346"/>
      <c r="U3" s="347"/>
      <c r="V3" s="346"/>
      <c r="W3" s="347"/>
      <c r="Y3" s="1378"/>
      <c r="Z3" s="1378"/>
      <c r="AA3" s="1378"/>
    </row>
    <row r="4" spans="2:27" s="161" customFormat="1" ht="25.15" customHeight="1" thickBot="1">
      <c r="B4" s="348"/>
      <c r="C4" s="348"/>
      <c r="D4" s="1794" t="s">
        <v>1235</v>
      </c>
      <c r="E4" s="1795"/>
      <c r="F4" s="1795"/>
      <c r="G4" s="1795"/>
      <c r="H4" s="1795"/>
      <c r="I4" s="1795"/>
      <c r="J4" s="1795"/>
      <c r="K4" s="1795"/>
      <c r="L4" s="1795"/>
      <c r="M4" s="1795"/>
      <c r="N4" s="1795"/>
      <c r="O4" s="1795"/>
      <c r="P4" s="1795"/>
      <c r="Q4" s="1795"/>
      <c r="R4" s="1795"/>
      <c r="S4" s="1795"/>
      <c r="T4" s="1795"/>
      <c r="U4" s="1795"/>
      <c r="V4" s="1795"/>
      <c r="W4" s="1796"/>
      <c r="X4" s="472"/>
      <c r="Y4" s="348"/>
      <c r="Z4" s="348"/>
      <c r="AA4" s="348"/>
    </row>
    <row r="5" spans="2:27" s="349" customFormat="1" ht="100.15" customHeight="1" thickBot="1">
      <c r="B5" s="1797" t="s">
        <v>1236</v>
      </c>
      <c r="C5" s="1798"/>
      <c r="D5" s="1799" t="s">
        <v>1237</v>
      </c>
      <c r="E5" s="1800"/>
      <c r="F5" s="1800" t="s">
        <v>1238</v>
      </c>
      <c r="G5" s="1800"/>
      <c r="H5" s="1800" t="s">
        <v>1239</v>
      </c>
      <c r="I5" s="1800"/>
      <c r="J5" s="1800" t="s">
        <v>1240</v>
      </c>
      <c r="K5" s="1800"/>
      <c r="L5" s="1800" t="s">
        <v>1241</v>
      </c>
      <c r="M5" s="1800"/>
      <c r="N5" s="1800" t="s">
        <v>1242</v>
      </c>
      <c r="O5" s="1800"/>
      <c r="P5" s="1800" t="s">
        <v>1243</v>
      </c>
      <c r="Q5" s="1800"/>
      <c r="R5" s="1800" t="s">
        <v>1244</v>
      </c>
      <c r="S5" s="1800"/>
      <c r="T5" s="1800" t="s">
        <v>1245</v>
      </c>
      <c r="U5" s="1800"/>
      <c r="V5" s="1800" t="s">
        <v>1246</v>
      </c>
      <c r="W5" s="1801"/>
      <c r="X5" s="497"/>
      <c r="Y5" s="508" t="s">
        <v>1247</v>
      </c>
      <c r="Z5" s="509" t="s">
        <v>1248</v>
      </c>
      <c r="AA5" s="510" t="s">
        <v>1249</v>
      </c>
    </row>
    <row r="6" spans="2:27" s="68" customFormat="1" ht="13.9" customHeight="1">
      <c r="B6" s="1785" t="s">
        <v>1250</v>
      </c>
      <c r="C6" s="1798" t="s">
        <v>1251</v>
      </c>
      <c r="D6" s="538"/>
      <c r="E6" s="539"/>
      <c r="F6" s="538"/>
      <c r="G6" s="539"/>
      <c r="H6" s="538"/>
      <c r="I6" s="539"/>
      <c r="J6" s="538" t="s">
        <v>1252</v>
      </c>
      <c r="K6" s="539" t="s">
        <v>1252</v>
      </c>
      <c r="L6" s="540">
        <v>-1</v>
      </c>
      <c r="M6" s="539"/>
      <c r="N6" s="540">
        <v>-4</v>
      </c>
      <c r="O6" s="539"/>
      <c r="P6" s="538"/>
      <c r="Q6" s="539"/>
      <c r="R6" s="538"/>
      <c r="S6" s="539"/>
      <c r="T6" s="538"/>
      <c r="U6" s="539"/>
      <c r="V6" s="538"/>
      <c r="W6" s="541"/>
      <c r="X6" s="473"/>
      <c r="Y6" s="1802">
        <v>-21</v>
      </c>
      <c r="Z6" s="1804"/>
      <c r="AA6" s="1806">
        <v>-21</v>
      </c>
    </row>
    <row r="7" spans="2:27" s="68" customFormat="1" ht="13.9" customHeight="1">
      <c r="B7" s="1786"/>
      <c r="C7" s="1791"/>
      <c r="D7" s="499"/>
      <c r="E7" s="496"/>
      <c r="F7" s="499"/>
      <c r="G7" s="496"/>
      <c r="H7" s="499"/>
      <c r="I7" s="496"/>
      <c r="J7" s="499"/>
      <c r="K7" s="496"/>
      <c r="L7" s="499"/>
      <c r="M7" s="501">
        <v>-1</v>
      </c>
      <c r="N7" s="499"/>
      <c r="O7" s="501">
        <v>-5</v>
      </c>
      <c r="P7" s="499"/>
      <c r="Q7" s="496"/>
      <c r="R7" s="499"/>
      <c r="S7" s="496"/>
      <c r="T7" s="499"/>
      <c r="U7" s="496"/>
      <c r="V7" s="499"/>
      <c r="W7" s="526"/>
      <c r="X7" s="473"/>
      <c r="Y7" s="1803"/>
      <c r="Z7" s="1805"/>
      <c r="AA7" s="1807"/>
    </row>
    <row r="8" spans="2:27" s="68" customFormat="1" ht="13.9" customHeight="1">
      <c r="B8" s="1786"/>
      <c r="C8" s="1788" t="s">
        <v>1253</v>
      </c>
      <c r="D8" s="500">
        <v>-1</v>
      </c>
      <c r="E8" s="498"/>
      <c r="F8" s="495"/>
      <c r="G8" s="498"/>
      <c r="H8" s="500">
        <v>-3</v>
      </c>
      <c r="I8" s="498"/>
      <c r="J8" s="495" t="s">
        <v>1252</v>
      </c>
      <c r="K8" s="498" t="s">
        <v>1252</v>
      </c>
      <c r="L8" s="500">
        <v>-4</v>
      </c>
      <c r="M8" s="498"/>
      <c r="N8" s="500">
        <v>-2</v>
      </c>
      <c r="O8" s="498"/>
      <c r="P8" s="495"/>
      <c r="Q8" s="498"/>
      <c r="R8" s="495"/>
      <c r="S8" s="498"/>
      <c r="T8" s="495"/>
      <c r="U8" s="498"/>
      <c r="V8" s="495"/>
      <c r="W8" s="525"/>
      <c r="X8" s="473"/>
      <c r="Y8" s="1808">
        <v>-39</v>
      </c>
      <c r="Z8" s="1809"/>
      <c r="AA8" s="1810">
        <v>-39</v>
      </c>
    </row>
    <row r="9" spans="2:27" s="68" customFormat="1" ht="13.9" customHeight="1">
      <c r="B9" s="1786"/>
      <c r="C9" s="1791"/>
      <c r="D9" s="499"/>
      <c r="E9" s="501">
        <v>-1</v>
      </c>
      <c r="F9" s="499"/>
      <c r="G9" s="496"/>
      <c r="H9" s="499"/>
      <c r="I9" s="501">
        <v>-4</v>
      </c>
      <c r="J9" s="499"/>
      <c r="K9" s="496"/>
      <c r="L9" s="499"/>
      <c r="M9" s="501">
        <v>-4</v>
      </c>
      <c r="N9" s="499"/>
      <c r="O9" s="501">
        <v>-5</v>
      </c>
      <c r="P9" s="499"/>
      <c r="Q9" s="496"/>
      <c r="R9" s="499"/>
      <c r="S9" s="496"/>
      <c r="T9" s="499"/>
      <c r="U9" s="496"/>
      <c r="V9" s="499"/>
      <c r="W9" s="526"/>
      <c r="X9" s="473"/>
      <c r="Y9" s="1803"/>
      <c r="Z9" s="1805"/>
      <c r="AA9" s="1807"/>
    </row>
    <row r="10" spans="2:27" s="68" customFormat="1" ht="13.9" customHeight="1">
      <c r="B10" s="1786"/>
      <c r="C10" s="1788" t="s">
        <v>1254</v>
      </c>
      <c r="D10" s="500">
        <v>-4</v>
      </c>
      <c r="E10" s="502"/>
      <c r="F10" s="500"/>
      <c r="G10" s="502"/>
      <c r="H10" s="500">
        <v>-1</v>
      </c>
      <c r="I10" s="502"/>
      <c r="J10" s="500" t="s">
        <v>1252</v>
      </c>
      <c r="K10" s="502" t="s">
        <v>1252</v>
      </c>
      <c r="L10" s="500">
        <v>-1</v>
      </c>
      <c r="M10" s="502"/>
      <c r="N10" s="500">
        <v>-3</v>
      </c>
      <c r="O10" s="502"/>
      <c r="P10" s="500"/>
      <c r="Q10" s="502"/>
      <c r="R10" s="500"/>
      <c r="S10" s="502"/>
      <c r="T10" s="500">
        <v>-2</v>
      </c>
      <c r="U10" s="502"/>
      <c r="V10" s="500"/>
      <c r="W10" s="527"/>
      <c r="X10" s="473"/>
      <c r="Y10" s="1808">
        <v>-35</v>
      </c>
      <c r="Z10" s="1809"/>
      <c r="AA10" s="1810">
        <v>-35</v>
      </c>
    </row>
    <row r="11" spans="2:27" s="68" customFormat="1" ht="13.9" customHeight="1" thickBot="1">
      <c r="B11" s="1787"/>
      <c r="C11" s="1789"/>
      <c r="D11" s="535"/>
      <c r="E11" s="536">
        <v>-3</v>
      </c>
      <c r="F11" s="535"/>
      <c r="G11" s="536"/>
      <c r="H11" s="535"/>
      <c r="I11" s="536">
        <v>-1</v>
      </c>
      <c r="J11" s="535"/>
      <c r="K11" s="536"/>
      <c r="L11" s="535"/>
      <c r="M11" s="536">
        <v>-1</v>
      </c>
      <c r="N11" s="535"/>
      <c r="O11" s="536">
        <v>-5</v>
      </c>
      <c r="P11" s="535"/>
      <c r="Q11" s="536"/>
      <c r="R11" s="535"/>
      <c r="S11" s="536"/>
      <c r="T11" s="535"/>
      <c r="U11" s="536">
        <v>-3</v>
      </c>
      <c r="V11" s="535"/>
      <c r="W11" s="542"/>
      <c r="X11" s="473"/>
      <c r="Y11" s="1803"/>
      <c r="Z11" s="1805"/>
      <c r="AA11" s="1807"/>
    </row>
    <row r="12" spans="2:27" s="68" customFormat="1" ht="13.9" customHeight="1">
      <c r="B12" s="1811" t="s">
        <v>1255</v>
      </c>
      <c r="C12" s="1798" t="s">
        <v>1256</v>
      </c>
      <c r="D12" s="540" t="s">
        <v>1252</v>
      </c>
      <c r="E12" s="548" t="s">
        <v>1252</v>
      </c>
      <c r="F12" s="540"/>
      <c r="G12" s="548"/>
      <c r="H12" s="540">
        <v>-2</v>
      </c>
      <c r="I12" s="548"/>
      <c r="J12" s="540" t="s">
        <v>1252</v>
      </c>
      <c r="K12" s="548" t="s">
        <v>1252</v>
      </c>
      <c r="L12" s="540"/>
      <c r="M12" s="548"/>
      <c r="N12" s="540"/>
      <c r="O12" s="548"/>
      <c r="P12" s="540"/>
      <c r="Q12" s="548"/>
      <c r="R12" s="540"/>
      <c r="S12" s="548"/>
      <c r="T12" s="540"/>
      <c r="U12" s="548"/>
      <c r="V12" s="540"/>
      <c r="W12" s="549"/>
      <c r="X12" s="473"/>
      <c r="Y12" s="1808">
        <v>-4</v>
      </c>
      <c r="Z12" s="1809"/>
      <c r="AA12" s="1810">
        <v>-4</v>
      </c>
    </row>
    <row r="13" spans="2:27" s="68" customFormat="1" ht="13.9" customHeight="1">
      <c r="B13" s="1812"/>
      <c r="C13" s="1791"/>
      <c r="D13" s="503"/>
      <c r="E13" s="501"/>
      <c r="F13" s="503"/>
      <c r="G13" s="501"/>
      <c r="H13" s="503"/>
      <c r="I13" s="501">
        <v>-2</v>
      </c>
      <c r="J13" s="503"/>
      <c r="K13" s="501"/>
      <c r="L13" s="503"/>
      <c r="M13" s="501"/>
      <c r="N13" s="503"/>
      <c r="O13" s="501"/>
      <c r="P13" s="503"/>
      <c r="Q13" s="501"/>
      <c r="R13" s="503"/>
      <c r="S13" s="501"/>
      <c r="T13" s="503"/>
      <c r="U13" s="501"/>
      <c r="V13" s="503"/>
      <c r="W13" s="528"/>
      <c r="X13" s="473"/>
      <c r="Y13" s="1803"/>
      <c r="Z13" s="1805"/>
      <c r="AA13" s="1807"/>
    </row>
    <row r="14" spans="2:27" s="68" customFormat="1" ht="13.9" customHeight="1">
      <c r="B14" s="1812"/>
      <c r="C14" s="1788" t="s">
        <v>1257</v>
      </c>
      <c r="D14" s="495"/>
      <c r="E14" s="498"/>
      <c r="F14" s="495"/>
      <c r="G14" s="498"/>
      <c r="H14" s="495"/>
      <c r="I14" s="498"/>
      <c r="J14" s="495"/>
      <c r="K14" s="498"/>
      <c r="L14" s="495"/>
      <c r="M14" s="498"/>
      <c r="N14" s="495"/>
      <c r="O14" s="498"/>
      <c r="P14" s="495"/>
      <c r="Q14" s="498"/>
      <c r="R14" s="495"/>
      <c r="S14" s="498"/>
      <c r="T14" s="495"/>
      <c r="U14" s="498"/>
      <c r="V14" s="495"/>
      <c r="W14" s="525"/>
      <c r="X14" s="473"/>
      <c r="Y14" s="1808"/>
      <c r="Z14" s="1809"/>
      <c r="AA14" s="1810">
        <v>0</v>
      </c>
    </row>
    <row r="15" spans="2:27" s="68" customFormat="1" ht="13.9" customHeight="1">
      <c r="B15" s="1812"/>
      <c r="C15" s="1791"/>
      <c r="D15" s="499"/>
      <c r="E15" s="496"/>
      <c r="F15" s="499"/>
      <c r="G15" s="496"/>
      <c r="H15" s="499"/>
      <c r="I15" s="496"/>
      <c r="J15" s="499"/>
      <c r="K15" s="496"/>
      <c r="L15" s="499"/>
      <c r="M15" s="496"/>
      <c r="N15" s="499"/>
      <c r="O15" s="496"/>
      <c r="P15" s="499"/>
      <c r="Q15" s="496"/>
      <c r="R15" s="499"/>
      <c r="S15" s="496"/>
      <c r="T15" s="499"/>
      <c r="U15" s="496"/>
      <c r="V15" s="499"/>
      <c r="W15" s="526"/>
      <c r="X15" s="473"/>
      <c r="Y15" s="1803"/>
      <c r="Z15" s="1805"/>
      <c r="AA15" s="1807"/>
    </row>
    <row r="16" spans="2:27" s="68" customFormat="1" ht="13.9" customHeight="1">
      <c r="B16" s="1812"/>
      <c r="C16" s="1788" t="s">
        <v>709</v>
      </c>
      <c r="D16" s="504">
        <v>4</v>
      </c>
      <c r="E16" s="505"/>
      <c r="F16" s="504">
        <v>5</v>
      </c>
      <c r="G16" s="505"/>
      <c r="H16" s="504">
        <v>3</v>
      </c>
      <c r="I16" s="505"/>
      <c r="J16" s="504">
        <v>3</v>
      </c>
      <c r="K16" s="505"/>
      <c r="L16" s="504">
        <v>3</v>
      </c>
      <c r="M16" s="505"/>
      <c r="N16" s="500">
        <v>-3</v>
      </c>
      <c r="O16" s="502"/>
      <c r="P16" s="500"/>
      <c r="Q16" s="502"/>
      <c r="R16" s="500">
        <v>-3</v>
      </c>
      <c r="S16" s="502"/>
      <c r="T16" s="495"/>
      <c r="U16" s="498"/>
      <c r="V16" s="495"/>
      <c r="W16" s="525"/>
      <c r="X16" s="473"/>
      <c r="Y16" s="1808">
        <v>-30</v>
      </c>
      <c r="Z16" s="1809">
        <v>72</v>
      </c>
      <c r="AA16" s="1810">
        <v>42</v>
      </c>
    </row>
    <row r="17" spans="2:27" s="68" customFormat="1" ht="13.9" customHeight="1" thickBot="1">
      <c r="B17" s="1813"/>
      <c r="C17" s="1789"/>
      <c r="D17" s="531"/>
      <c r="E17" s="532">
        <v>5</v>
      </c>
      <c r="F17" s="531"/>
      <c r="G17" s="532">
        <v>5</v>
      </c>
      <c r="H17" s="531"/>
      <c r="I17" s="532">
        <v>3</v>
      </c>
      <c r="J17" s="531"/>
      <c r="K17" s="532">
        <v>3</v>
      </c>
      <c r="L17" s="531"/>
      <c r="M17" s="532">
        <v>3</v>
      </c>
      <c r="N17" s="535"/>
      <c r="O17" s="536">
        <v>-5</v>
      </c>
      <c r="P17" s="535"/>
      <c r="Q17" s="536"/>
      <c r="R17" s="535"/>
      <c r="S17" s="536">
        <v>-5</v>
      </c>
      <c r="T17" s="533"/>
      <c r="U17" s="534"/>
      <c r="V17" s="533"/>
      <c r="W17" s="550"/>
      <c r="X17" s="473"/>
      <c r="Y17" s="1803"/>
      <c r="Z17" s="1805"/>
      <c r="AA17" s="1807"/>
    </row>
    <row r="18" spans="2:27" s="68" customFormat="1" ht="13.9" customHeight="1">
      <c r="B18" s="1792" t="s">
        <v>1258</v>
      </c>
      <c r="C18" s="1790" t="s">
        <v>1259</v>
      </c>
      <c r="D18" s="543">
        <v>3</v>
      </c>
      <c r="E18" s="544"/>
      <c r="F18" s="543">
        <v>5</v>
      </c>
      <c r="G18" s="544"/>
      <c r="H18" s="543">
        <v>5</v>
      </c>
      <c r="I18" s="544"/>
      <c r="J18" s="543">
        <v>2</v>
      </c>
      <c r="K18" s="544"/>
      <c r="L18" s="543">
        <v>2</v>
      </c>
      <c r="M18" s="544"/>
      <c r="N18" s="545"/>
      <c r="O18" s="546"/>
      <c r="P18" s="545"/>
      <c r="Q18" s="546"/>
      <c r="R18" s="545"/>
      <c r="S18" s="546"/>
      <c r="T18" s="543">
        <v>2</v>
      </c>
      <c r="U18" s="544"/>
      <c r="V18" s="543">
        <v>2</v>
      </c>
      <c r="W18" s="547"/>
      <c r="X18" s="473"/>
      <c r="Y18" s="1814"/>
      <c r="Z18" s="1778">
        <v>75</v>
      </c>
      <c r="AA18" s="1779">
        <v>75</v>
      </c>
    </row>
    <row r="19" spans="2:27" s="68" customFormat="1" ht="13.9" customHeight="1">
      <c r="B19" s="1792"/>
      <c r="C19" s="1791"/>
      <c r="D19" s="506"/>
      <c r="E19" s="507">
        <v>3</v>
      </c>
      <c r="F19" s="506"/>
      <c r="G19" s="507">
        <v>5</v>
      </c>
      <c r="H19" s="506"/>
      <c r="I19" s="507">
        <v>5</v>
      </c>
      <c r="J19" s="506"/>
      <c r="K19" s="507">
        <v>2</v>
      </c>
      <c r="L19" s="506"/>
      <c r="M19" s="507">
        <v>2</v>
      </c>
      <c r="N19" s="499"/>
      <c r="O19" s="496"/>
      <c r="P19" s="499"/>
      <c r="Q19" s="496"/>
      <c r="R19" s="499"/>
      <c r="S19" s="496"/>
      <c r="T19" s="506"/>
      <c r="U19" s="507">
        <v>2</v>
      </c>
      <c r="V19" s="506"/>
      <c r="W19" s="530">
        <v>2</v>
      </c>
      <c r="X19" s="473"/>
      <c r="Y19" s="1814"/>
      <c r="Z19" s="1778"/>
      <c r="AA19" s="1779"/>
    </row>
    <row r="20" spans="2:27" s="68" customFormat="1" ht="13.9" customHeight="1">
      <c r="B20" s="1792"/>
      <c r="C20" s="1788" t="s">
        <v>1260</v>
      </c>
      <c r="D20" s="504">
        <v>6</v>
      </c>
      <c r="E20" s="505"/>
      <c r="F20" s="504">
        <v>5</v>
      </c>
      <c r="G20" s="505"/>
      <c r="H20" s="504">
        <v>2</v>
      </c>
      <c r="I20" s="505"/>
      <c r="J20" s="504">
        <v>2</v>
      </c>
      <c r="K20" s="505"/>
      <c r="L20" s="504">
        <v>2</v>
      </c>
      <c r="M20" s="505"/>
      <c r="N20" s="495"/>
      <c r="O20" s="498"/>
      <c r="P20" s="500">
        <v>-3</v>
      </c>
      <c r="Q20" s="502"/>
      <c r="R20" s="495"/>
      <c r="S20" s="498"/>
      <c r="T20" s="504">
        <v>2</v>
      </c>
      <c r="U20" s="505"/>
      <c r="V20" s="504">
        <v>2</v>
      </c>
      <c r="W20" s="529"/>
      <c r="X20" s="473"/>
      <c r="Y20" s="1814">
        <v>-15</v>
      </c>
      <c r="Z20" s="1778">
        <v>81</v>
      </c>
      <c r="AA20" s="1779">
        <v>66</v>
      </c>
    </row>
    <row r="21" spans="2:27" s="68" customFormat="1" ht="13.9" customHeight="1" thickBot="1">
      <c r="B21" s="1793"/>
      <c r="C21" s="1789"/>
      <c r="D21" s="531"/>
      <c r="E21" s="532">
        <v>6</v>
      </c>
      <c r="F21" s="531"/>
      <c r="G21" s="532">
        <v>5</v>
      </c>
      <c r="H21" s="531"/>
      <c r="I21" s="532">
        <v>2</v>
      </c>
      <c r="J21" s="531"/>
      <c r="K21" s="532">
        <v>2</v>
      </c>
      <c r="L21" s="531"/>
      <c r="M21" s="532">
        <v>2</v>
      </c>
      <c r="N21" s="533"/>
      <c r="O21" s="534"/>
      <c r="P21" s="535"/>
      <c r="Q21" s="536">
        <v>-5</v>
      </c>
      <c r="R21" s="533"/>
      <c r="S21" s="534"/>
      <c r="T21" s="531"/>
      <c r="U21" s="532">
        <v>2</v>
      </c>
      <c r="V21" s="531"/>
      <c r="W21" s="537">
        <v>2</v>
      </c>
      <c r="X21" s="473"/>
      <c r="Y21" s="1815"/>
      <c r="Z21" s="1776"/>
      <c r="AA21" s="1777"/>
    </row>
    <row r="22" spans="2:27" s="119" customFormat="1" ht="15" thickBot="1">
      <c r="B22" s="1379"/>
      <c r="C22" s="475"/>
      <c r="D22" s="469"/>
      <c r="E22" s="470"/>
      <c r="F22" s="469"/>
      <c r="G22" s="470"/>
      <c r="H22" s="469"/>
      <c r="I22" s="470"/>
      <c r="J22" s="469"/>
      <c r="K22" s="1821"/>
      <c r="L22" s="1821"/>
      <c r="M22" s="470"/>
      <c r="N22" s="469"/>
      <c r="O22" s="470"/>
      <c r="P22" s="469"/>
      <c r="Q22" s="470"/>
      <c r="R22" s="469"/>
      <c r="S22" s="470"/>
      <c r="T22" s="469"/>
      <c r="U22" s="470"/>
      <c r="V22" s="469"/>
      <c r="W22" s="470"/>
      <c r="X22" s="121"/>
      <c r="Y22" s="1379"/>
      <c r="Z22" s="1379"/>
      <c r="AA22" s="476" t="s">
        <v>1252</v>
      </c>
    </row>
    <row r="23" spans="2:27" s="350" customFormat="1" ht="15" customHeight="1" thickBot="1">
      <c r="B23" s="348"/>
      <c r="C23" s="511" t="s">
        <v>1247</v>
      </c>
      <c r="D23" s="1784">
        <v>-13</v>
      </c>
      <c r="E23" s="1781"/>
      <c r="F23" s="1781"/>
      <c r="G23" s="1781"/>
      <c r="H23" s="1781">
        <v>-17</v>
      </c>
      <c r="I23" s="1781"/>
      <c r="J23" s="1781"/>
      <c r="K23" s="1781"/>
      <c r="L23" s="1781">
        <v>-18</v>
      </c>
      <c r="M23" s="1781"/>
      <c r="N23" s="1781">
        <v>-60</v>
      </c>
      <c r="O23" s="1781"/>
      <c r="P23" s="1781">
        <v>-15</v>
      </c>
      <c r="Q23" s="1781"/>
      <c r="R23" s="1781">
        <v>-15</v>
      </c>
      <c r="S23" s="1781"/>
      <c r="T23" s="1781">
        <v>-6</v>
      </c>
      <c r="U23" s="1781"/>
      <c r="V23" s="1781"/>
      <c r="W23" s="1782"/>
      <c r="X23" s="474"/>
      <c r="Y23" s="471" t="s">
        <v>1252</v>
      </c>
      <c r="Z23" s="471"/>
      <c r="AA23" s="477">
        <f>+SUM(AA6:AA20)</f>
        <v>84</v>
      </c>
    </row>
    <row r="24" spans="2:27" s="161" customFormat="1" ht="15" customHeight="1" thickBot="1">
      <c r="B24" s="348"/>
      <c r="C24" s="512" t="s">
        <v>1248</v>
      </c>
      <c r="D24" s="1783">
        <v>65</v>
      </c>
      <c r="E24" s="1778"/>
      <c r="F24" s="1778">
        <v>75</v>
      </c>
      <c r="G24" s="1778"/>
      <c r="H24" s="1778">
        <v>38</v>
      </c>
      <c r="I24" s="1778"/>
      <c r="J24" s="1778">
        <v>17</v>
      </c>
      <c r="K24" s="1778"/>
      <c r="L24" s="1778">
        <v>17</v>
      </c>
      <c r="M24" s="1778"/>
      <c r="N24" s="1778"/>
      <c r="O24" s="1778"/>
      <c r="P24" s="1778"/>
      <c r="Q24" s="1778"/>
      <c r="R24" s="1778"/>
      <c r="S24" s="1778"/>
      <c r="T24" s="1778">
        <v>8</v>
      </c>
      <c r="U24" s="1778"/>
      <c r="V24" s="1778">
        <v>8</v>
      </c>
      <c r="W24" s="1779"/>
      <c r="X24" s="472"/>
      <c r="Y24" s="348"/>
      <c r="Z24" s="348"/>
      <c r="AA24" s="348"/>
    </row>
    <row r="25" spans="2:27" s="161" customFormat="1" ht="15" customHeight="1" thickBot="1">
      <c r="B25" s="471" t="s">
        <v>1252</v>
      </c>
      <c r="C25" s="513" t="s">
        <v>1249</v>
      </c>
      <c r="D25" s="1780">
        <v>52</v>
      </c>
      <c r="E25" s="1776"/>
      <c r="F25" s="1776">
        <v>75</v>
      </c>
      <c r="G25" s="1776"/>
      <c r="H25" s="1776">
        <v>21</v>
      </c>
      <c r="I25" s="1776"/>
      <c r="J25" s="1776">
        <v>17</v>
      </c>
      <c r="K25" s="1776"/>
      <c r="L25" s="1776">
        <v>-1</v>
      </c>
      <c r="M25" s="1776"/>
      <c r="N25" s="1776">
        <v>-60</v>
      </c>
      <c r="O25" s="1776"/>
      <c r="P25" s="1776">
        <v>-15</v>
      </c>
      <c r="Q25" s="1776"/>
      <c r="R25" s="1776">
        <v>-15</v>
      </c>
      <c r="S25" s="1776"/>
      <c r="T25" s="1776">
        <v>2</v>
      </c>
      <c r="U25" s="1776"/>
      <c r="V25" s="1776">
        <v>8</v>
      </c>
      <c r="W25" s="1777"/>
      <c r="X25" s="348"/>
      <c r="Y25" s="477">
        <f>SUM(D25:W25)</f>
        <v>84</v>
      </c>
      <c r="Z25" s="471" t="s">
        <v>1252</v>
      </c>
      <c r="AA25" s="348"/>
    </row>
    <row r="26" spans="2:27">
      <c r="B26" s="1378"/>
      <c r="C26" s="348"/>
      <c r="D26" s="346"/>
      <c r="E26" s="347"/>
      <c r="F26" s="346"/>
      <c r="G26" s="347"/>
      <c r="H26" s="346"/>
      <c r="I26" s="347"/>
      <c r="J26" s="346"/>
      <c r="K26" s="1820"/>
      <c r="L26" s="1820"/>
      <c r="M26" s="347"/>
      <c r="N26" s="346"/>
      <c r="O26" s="347"/>
      <c r="P26" s="346"/>
      <c r="Q26" s="347"/>
      <c r="R26" s="346"/>
      <c r="S26" s="347"/>
      <c r="T26" s="346"/>
      <c r="U26" s="347"/>
      <c r="V26" s="346"/>
      <c r="W26" s="347"/>
      <c r="Y26" s="1378"/>
      <c r="Z26" s="1378"/>
      <c r="AA26" s="1378"/>
    </row>
    <row r="27" spans="2:27">
      <c r="B27" s="1378"/>
      <c r="C27" s="348"/>
      <c r="D27" s="346"/>
      <c r="E27" s="347"/>
      <c r="F27" s="346"/>
      <c r="G27" s="347"/>
      <c r="H27" s="346"/>
      <c r="I27" s="347"/>
      <c r="J27" s="346"/>
      <c r="K27" s="1820"/>
      <c r="L27" s="1820"/>
      <c r="M27" s="347"/>
      <c r="N27" s="346"/>
      <c r="O27" s="347"/>
      <c r="P27" s="346"/>
      <c r="Q27" s="347"/>
      <c r="R27" s="346"/>
      <c r="S27" s="347"/>
      <c r="T27" s="346"/>
      <c r="U27" s="347"/>
      <c r="V27" s="346"/>
      <c r="W27" s="347"/>
      <c r="Y27" s="1378"/>
      <c r="Z27" s="1378"/>
      <c r="AA27" s="1378"/>
    </row>
  </sheetData>
  <mergeCells count="81">
    <mergeCell ref="Y18:Y19"/>
    <mergeCell ref="Y20:Y21"/>
    <mergeCell ref="Z20:Z21"/>
    <mergeCell ref="AA20:AA21"/>
    <mergeCell ref="Z18:Z19"/>
    <mergeCell ref="AA18:AA19"/>
    <mergeCell ref="Y14:Y15"/>
    <mergeCell ref="Z14:Z15"/>
    <mergeCell ref="AA14:AA15"/>
    <mergeCell ref="B12:B17"/>
    <mergeCell ref="C16:C17"/>
    <mergeCell ref="Y16:Y17"/>
    <mergeCell ref="Z16:Z17"/>
    <mergeCell ref="AA16:AA17"/>
    <mergeCell ref="Y10:Y11"/>
    <mergeCell ref="Z10:Z11"/>
    <mergeCell ref="AA10:AA11"/>
    <mergeCell ref="C12:C13"/>
    <mergeCell ref="Y12:Y13"/>
    <mergeCell ref="Z12:Z13"/>
    <mergeCell ref="AA12:AA13"/>
    <mergeCell ref="Y6:Y7"/>
    <mergeCell ref="Z6:Z7"/>
    <mergeCell ref="AA6:AA7"/>
    <mergeCell ref="C8:C9"/>
    <mergeCell ref="Y8:Y9"/>
    <mergeCell ref="Z8:Z9"/>
    <mergeCell ref="AA8:AA9"/>
    <mergeCell ref="C6:C7"/>
    <mergeCell ref="K1:L1"/>
    <mergeCell ref="D4:W4"/>
    <mergeCell ref="B5:C5"/>
    <mergeCell ref="D5:E5"/>
    <mergeCell ref="F5:G5"/>
    <mergeCell ref="H5:I5"/>
    <mergeCell ref="J5:K5"/>
    <mergeCell ref="L5:M5"/>
    <mergeCell ref="N5:O5"/>
    <mergeCell ref="P5:Q5"/>
    <mergeCell ref="R5:S5"/>
    <mergeCell ref="T5:U5"/>
    <mergeCell ref="V5:W5"/>
    <mergeCell ref="B6:B11"/>
    <mergeCell ref="C10:C11"/>
    <mergeCell ref="C18:C19"/>
    <mergeCell ref="C20:C21"/>
    <mergeCell ref="B18:B21"/>
    <mergeCell ref="C14:C15"/>
    <mergeCell ref="K22:L22"/>
    <mergeCell ref="D23:E23"/>
    <mergeCell ref="F23:G23"/>
    <mergeCell ref="H23:I23"/>
    <mergeCell ref="J23:K23"/>
    <mergeCell ref="L23:M23"/>
    <mergeCell ref="D24:E24"/>
    <mergeCell ref="F24:G24"/>
    <mergeCell ref="H24:I24"/>
    <mergeCell ref="J24:K24"/>
    <mergeCell ref="L24:M24"/>
    <mergeCell ref="N23:O23"/>
    <mergeCell ref="P23:Q23"/>
    <mergeCell ref="R23:S23"/>
    <mergeCell ref="T23:U23"/>
    <mergeCell ref="V23:W23"/>
    <mergeCell ref="D25:E25"/>
    <mergeCell ref="F25:G25"/>
    <mergeCell ref="H25:I25"/>
    <mergeCell ref="J25:K25"/>
    <mergeCell ref="L25:M25"/>
    <mergeCell ref="V25:W25"/>
    <mergeCell ref="K26:L26"/>
    <mergeCell ref="N24:O24"/>
    <mergeCell ref="P24:Q24"/>
    <mergeCell ref="R24:S24"/>
    <mergeCell ref="T24:U24"/>
    <mergeCell ref="V24:W24"/>
    <mergeCell ref="K27:L27"/>
    <mergeCell ref="N25:O25"/>
    <mergeCell ref="P25:Q25"/>
    <mergeCell ref="R25:S25"/>
    <mergeCell ref="T25:U25"/>
  </mergeCells>
  <hyperlinks>
    <hyperlink ref="D2" location="Indice!A1" display="INDICE" xr:uid="{00000000-0004-0000-1E00-000000000000}"/>
  </hyperlinks>
  <pageMargins left="0.7" right="0.7" top="0.75" bottom="0.75" header="0.3" footer="0.3"/>
  <pageSetup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B2:H18"/>
  <sheetViews>
    <sheetView showGridLines="0" zoomScale="85" zoomScaleNormal="85" workbookViewId="0">
      <selection activeCell="H14" sqref="H14"/>
    </sheetView>
  </sheetViews>
  <sheetFormatPr defaultColWidth="11.42578125" defaultRowHeight="14.45"/>
  <cols>
    <col min="1" max="1" width="5.7109375" customWidth="1"/>
    <col min="2" max="2" width="24.42578125" customWidth="1"/>
    <col min="3" max="3" width="8.140625" bestFit="1" customWidth="1"/>
    <col min="4" max="4" width="12.28515625" bestFit="1" customWidth="1"/>
    <col min="5" max="5" width="9.5703125" bestFit="1" customWidth="1"/>
    <col min="6" max="6" width="9.140625" bestFit="1" customWidth="1"/>
    <col min="7" max="7" width="33.5703125" bestFit="1" customWidth="1"/>
    <col min="8" max="8" width="31.140625" customWidth="1"/>
  </cols>
  <sheetData>
    <row r="2" spans="2:8">
      <c r="B2" s="1305" t="s">
        <v>126</v>
      </c>
      <c r="C2" s="337" t="s">
        <v>49</v>
      </c>
    </row>
    <row r="3" spans="2:8" ht="15" thickBot="1"/>
    <row r="4" spans="2:8" ht="15" thickBot="1">
      <c r="B4" s="478" t="s">
        <v>329</v>
      </c>
      <c r="C4" s="478" t="s">
        <v>1261</v>
      </c>
      <c r="D4" s="478" t="s">
        <v>1262</v>
      </c>
      <c r="E4" s="478" t="s">
        <v>1263</v>
      </c>
      <c r="F4" s="478" t="s">
        <v>1264</v>
      </c>
      <c r="G4" s="478" t="s">
        <v>1265</v>
      </c>
      <c r="H4" s="479" t="s">
        <v>1266</v>
      </c>
    </row>
    <row r="5" spans="2:8" ht="43.9" thickBot="1">
      <c r="B5" s="480" t="s">
        <v>1267</v>
      </c>
      <c r="C5" s="481" t="s">
        <v>1268</v>
      </c>
      <c r="D5" s="481" t="s">
        <v>1269</v>
      </c>
      <c r="E5" s="481" t="s">
        <v>1270</v>
      </c>
      <c r="F5" s="481" t="s">
        <v>1270</v>
      </c>
      <c r="G5" s="480" t="s">
        <v>1271</v>
      </c>
      <c r="H5" s="482" t="s">
        <v>1272</v>
      </c>
    </row>
    <row r="6" spans="2:8" ht="43.9" thickBot="1">
      <c r="B6" s="480" t="s">
        <v>1273</v>
      </c>
      <c r="C6" s="481" t="s">
        <v>1274</v>
      </c>
      <c r="D6" s="481" t="s">
        <v>1270</v>
      </c>
      <c r="E6" s="481" t="s">
        <v>1274</v>
      </c>
      <c r="F6" s="481" t="s">
        <v>1274</v>
      </c>
      <c r="G6" s="480" t="s">
        <v>1275</v>
      </c>
      <c r="H6" s="482" t="s">
        <v>1276</v>
      </c>
    </row>
    <row r="7" spans="2:8" ht="58.15" thickBot="1">
      <c r="B7" s="480" t="s">
        <v>1277</v>
      </c>
      <c r="C7" s="481" t="s">
        <v>1268</v>
      </c>
      <c r="D7" s="481" t="s">
        <v>1269</v>
      </c>
      <c r="E7" s="481" t="s">
        <v>1270</v>
      </c>
      <c r="F7" s="481" t="s">
        <v>1270</v>
      </c>
      <c r="G7" s="480" t="s">
        <v>1278</v>
      </c>
      <c r="H7" s="482" t="s">
        <v>1279</v>
      </c>
    </row>
    <row r="8" spans="2:8" ht="43.9" thickBot="1">
      <c r="B8" s="480" t="s">
        <v>1280</v>
      </c>
      <c r="C8" s="481" t="s">
        <v>1274</v>
      </c>
      <c r="D8" s="481" t="s">
        <v>1281</v>
      </c>
      <c r="E8" s="481" t="s">
        <v>1274</v>
      </c>
      <c r="F8" s="481" t="s">
        <v>1274</v>
      </c>
      <c r="G8" s="480" t="s">
        <v>1282</v>
      </c>
      <c r="H8" s="482" t="s">
        <v>1283</v>
      </c>
    </row>
    <row r="9" spans="2:8" ht="43.9" thickBot="1">
      <c r="B9" s="480" t="s">
        <v>1284</v>
      </c>
      <c r="C9" s="481" t="s">
        <v>1268</v>
      </c>
      <c r="D9" s="481" t="s">
        <v>1281</v>
      </c>
      <c r="E9" s="481" t="s">
        <v>1270</v>
      </c>
      <c r="F9" s="481" t="s">
        <v>1270</v>
      </c>
      <c r="G9" s="480" t="s">
        <v>1285</v>
      </c>
      <c r="H9" s="482" t="s">
        <v>1286</v>
      </c>
    </row>
    <row r="10" spans="2:8" ht="43.9" thickBot="1">
      <c r="B10" s="480" t="s">
        <v>1287</v>
      </c>
      <c r="C10" s="481" t="s">
        <v>1274</v>
      </c>
      <c r="D10" s="481" t="s">
        <v>1269</v>
      </c>
      <c r="E10" s="481" t="s">
        <v>1274</v>
      </c>
      <c r="F10" s="481" t="s">
        <v>1274</v>
      </c>
      <c r="G10" s="480" t="s">
        <v>1288</v>
      </c>
      <c r="H10" s="482" t="s">
        <v>1289</v>
      </c>
    </row>
    <row r="11" spans="2:8" ht="43.9" thickBot="1">
      <c r="B11" s="480" t="s">
        <v>1290</v>
      </c>
      <c r="C11" s="481" t="s">
        <v>1274</v>
      </c>
      <c r="D11" s="481" t="s">
        <v>1270</v>
      </c>
      <c r="E11" s="481" t="s">
        <v>1274</v>
      </c>
      <c r="F11" s="481" t="s">
        <v>1274</v>
      </c>
      <c r="G11" s="480" t="s">
        <v>1291</v>
      </c>
      <c r="H11" s="482" t="s">
        <v>1292</v>
      </c>
    </row>
    <row r="12" spans="2:8" ht="29.45" thickBot="1">
      <c r="B12" s="480" t="s">
        <v>1293</v>
      </c>
      <c r="C12" s="481" t="s">
        <v>1268</v>
      </c>
      <c r="D12" s="481" t="s">
        <v>1281</v>
      </c>
      <c r="E12" s="481" t="s">
        <v>1274</v>
      </c>
      <c r="F12" s="481" t="s">
        <v>1270</v>
      </c>
      <c r="G12" s="480" t="s">
        <v>1294</v>
      </c>
      <c r="H12" s="482" t="s">
        <v>1295</v>
      </c>
    </row>
    <row r="13" spans="2:8" ht="58.15" thickBot="1">
      <c r="B13" s="480" t="s">
        <v>1296</v>
      </c>
      <c r="C13" s="481" t="s">
        <v>1274</v>
      </c>
      <c r="D13" s="481" t="s">
        <v>1281</v>
      </c>
      <c r="E13" s="481" t="s">
        <v>1274</v>
      </c>
      <c r="F13" s="481" t="s">
        <v>1274</v>
      </c>
      <c r="G13" s="480" t="s">
        <v>1297</v>
      </c>
      <c r="H13" s="482" t="s">
        <v>1298</v>
      </c>
    </row>
    <row r="14" spans="2:8" ht="43.9" thickBot="1">
      <c r="B14" s="480" t="s">
        <v>1299</v>
      </c>
      <c r="C14" s="481" t="s">
        <v>1274</v>
      </c>
      <c r="D14" s="481" t="s">
        <v>1269</v>
      </c>
      <c r="E14" s="481" t="s">
        <v>1274</v>
      </c>
      <c r="F14" s="481" t="s">
        <v>1274</v>
      </c>
      <c r="G14" s="480" t="s">
        <v>1300</v>
      </c>
      <c r="H14" s="482" t="s">
        <v>1301</v>
      </c>
    </row>
    <row r="15" spans="2:8" ht="43.9" thickBot="1">
      <c r="B15" s="480" t="s">
        <v>1302</v>
      </c>
      <c r="C15" s="481" t="s">
        <v>1274</v>
      </c>
      <c r="D15" s="481" t="s">
        <v>1269</v>
      </c>
      <c r="E15" s="481" t="s">
        <v>1274</v>
      </c>
      <c r="F15" s="481" t="s">
        <v>1274</v>
      </c>
      <c r="G15" s="480" t="s">
        <v>1303</v>
      </c>
      <c r="H15" s="482" t="s">
        <v>1304</v>
      </c>
    </row>
    <row r="16" spans="2:8" ht="58.15" thickBot="1">
      <c r="B16" s="480" t="s">
        <v>1305</v>
      </c>
      <c r="C16" s="481" t="s">
        <v>1268</v>
      </c>
      <c r="D16" s="481" t="s">
        <v>1281</v>
      </c>
      <c r="E16" s="481" t="s">
        <v>1270</v>
      </c>
      <c r="F16" s="481" t="s">
        <v>1270</v>
      </c>
      <c r="G16" s="480" t="s">
        <v>1306</v>
      </c>
      <c r="H16" s="482" t="s">
        <v>1307</v>
      </c>
    </row>
    <row r="17" spans="2:8" ht="58.15" thickBot="1">
      <c r="B17" s="480" t="s">
        <v>1308</v>
      </c>
      <c r="C17" s="481" t="s">
        <v>1274</v>
      </c>
      <c r="D17" s="481" t="s">
        <v>1269</v>
      </c>
      <c r="E17" s="481" t="s">
        <v>1274</v>
      </c>
      <c r="F17" s="481" t="s">
        <v>1274</v>
      </c>
      <c r="G17" s="480" t="s">
        <v>1309</v>
      </c>
      <c r="H17" s="482" t="s">
        <v>1310</v>
      </c>
    </row>
    <row r="18" spans="2:8" ht="58.15" thickBot="1">
      <c r="B18" s="480" t="s">
        <v>1311</v>
      </c>
      <c r="C18" s="481" t="s">
        <v>1274</v>
      </c>
      <c r="D18" s="481" t="s">
        <v>1281</v>
      </c>
      <c r="E18" s="481" t="s">
        <v>1274</v>
      </c>
      <c r="F18" s="481" t="s">
        <v>1274</v>
      </c>
      <c r="G18" s="480" t="s">
        <v>1312</v>
      </c>
      <c r="H18" s="482" t="s">
        <v>1313</v>
      </c>
    </row>
  </sheetData>
  <conditionalFormatting sqref="C5:F18">
    <cfRule type="containsText" dxfId="5" priority="1" operator="containsText" text="Baja">
      <formula>NOT(ISERROR(SEARCH("Baja",C5)))</formula>
    </cfRule>
    <cfRule type="containsText" dxfId="4" priority="2" operator="containsText" text="Bajo">
      <formula>NOT(ISERROR(SEARCH("Bajo",C5)))</formula>
    </cfRule>
    <cfRule type="containsText" dxfId="3" priority="3" operator="containsText" text="Moderada">
      <formula>NOT(ISERROR(SEARCH("Moderada",C5)))</formula>
    </cfRule>
    <cfRule type="containsText" dxfId="2" priority="4" operator="containsText" text="Medio">
      <formula>NOT(ISERROR(SEARCH("Medio",C5)))</formula>
    </cfRule>
    <cfRule type="containsText" dxfId="1" priority="5" operator="containsText" text="Alta">
      <formula>NOT(ISERROR(SEARCH("Alta",C5)))</formula>
    </cfRule>
    <cfRule type="containsText" dxfId="0" priority="6" operator="containsText" text="Alto">
      <formula>NOT(ISERROR(SEARCH("Alto",C5)))</formula>
    </cfRule>
  </conditionalFormatting>
  <hyperlinks>
    <hyperlink ref="C2" location="Indice!A1" display="INDICE" xr:uid="{00000000-0004-0000-1F00-000000000000}"/>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0"/>
  </sheetPr>
  <dimension ref="B2:E34"/>
  <sheetViews>
    <sheetView showGridLines="0" zoomScale="85" zoomScaleNormal="85" workbookViewId="0">
      <selection activeCell="C2" sqref="C2"/>
    </sheetView>
  </sheetViews>
  <sheetFormatPr defaultColWidth="11.42578125" defaultRowHeight="14.45"/>
  <cols>
    <col min="2" max="2" width="18.7109375" customWidth="1"/>
    <col min="3" max="3" width="20.85546875" customWidth="1"/>
    <col min="4" max="4" width="22.5703125" customWidth="1"/>
    <col min="5" max="5" width="20.85546875" customWidth="1"/>
  </cols>
  <sheetData>
    <row r="2" spans="2:5">
      <c r="B2" t="s">
        <v>48</v>
      </c>
      <c r="C2" s="337" t="s">
        <v>49</v>
      </c>
    </row>
    <row r="3" spans="2:5" ht="15" thickBot="1"/>
    <row r="4" spans="2:5">
      <c r="B4" s="1816" t="s">
        <v>1314</v>
      </c>
      <c r="C4" s="1817"/>
      <c r="D4" s="1817"/>
      <c r="E4" s="1818"/>
    </row>
    <row r="5" spans="2:5">
      <c r="B5" s="1301" t="s">
        <v>50</v>
      </c>
      <c r="C5" s="1301" t="s">
        <v>1315</v>
      </c>
      <c r="D5" s="1301" t="s">
        <v>1316</v>
      </c>
      <c r="E5" s="1302" t="s">
        <v>1317</v>
      </c>
    </row>
    <row r="6" spans="2:5">
      <c r="B6" s="1303">
        <v>2024</v>
      </c>
      <c r="C6" s="1303">
        <v>5.22</v>
      </c>
      <c r="D6" s="1303">
        <v>6.77</v>
      </c>
      <c r="E6" s="1304">
        <v>0.29693486590038315</v>
      </c>
    </row>
    <row r="7" spans="2:5">
      <c r="B7" s="1303">
        <v>2025</v>
      </c>
      <c r="C7" s="1303">
        <v>5.33</v>
      </c>
      <c r="D7" s="1303">
        <v>7.16</v>
      </c>
      <c r="E7" s="1304">
        <v>0.34333958724202629</v>
      </c>
    </row>
    <row r="8" spans="2:5">
      <c r="B8" s="1360">
        <v>2026</v>
      </c>
      <c r="C8" s="1360">
        <v>5.45</v>
      </c>
      <c r="D8" s="1360">
        <v>7.88</v>
      </c>
      <c r="E8" s="48">
        <v>0.44587155963302744</v>
      </c>
    </row>
    <row r="9" spans="2:5">
      <c r="B9" s="1360">
        <v>2027</v>
      </c>
      <c r="C9" s="1360">
        <v>5.57</v>
      </c>
      <c r="D9" s="1360">
        <v>9.32</v>
      </c>
      <c r="E9" s="48">
        <v>0.67324955116696583</v>
      </c>
    </row>
    <row r="10" spans="2:5">
      <c r="B10" s="1360">
        <v>2028</v>
      </c>
      <c r="C10" s="1360">
        <v>5.59</v>
      </c>
      <c r="D10" s="1360">
        <v>11.58</v>
      </c>
      <c r="E10" s="48">
        <v>1.0715563506261181</v>
      </c>
    </row>
    <row r="11" spans="2:5" ht="15" thickBot="1">
      <c r="B11" s="1360"/>
      <c r="C11" s="1360"/>
      <c r="D11" s="1360"/>
      <c r="E11" s="48"/>
    </row>
    <row r="12" spans="2:5">
      <c r="B12" s="1816" t="s">
        <v>1093</v>
      </c>
      <c r="C12" s="1817"/>
      <c r="D12" s="1817"/>
      <c r="E12" s="1818"/>
    </row>
    <row r="13" spans="2:5">
      <c r="B13" s="1301" t="s">
        <v>50</v>
      </c>
      <c r="C13" s="1301" t="s">
        <v>1315</v>
      </c>
      <c r="D13" s="1301" t="s">
        <v>1316</v>
      </c>
      <c r="E13" s="1302" t="s">
        <v>1317</v>
      </c>
    </row>
    <row r="14" spans="2:5">
      <c r="B14" s="1303">
        <v>2024</v>
      </c>
      <c r="C14" s="1303">
        <v>221740.79999999999</v>
      </c>
      <c r="D14" s="1303">
        <v>760213.5</v>
      </c>
      <c r="E14" s="1304">
        <v>2.4283880097843968</v>
      </c>
    </row>
    <row r="15" spans="2:5">
      <c r="B15" s="1303">
        <v>2025</v>
      </c>
      <c r="C15" s="1303">
        <v>247206.9</v>
      </c>
      <c r="D15" s="1303">
        <v>815388.5</v>
      </c>
      <c r="E15" s="1304">
        <v>2.2984051011521118</v>
      </c>
    </row>
    <row r="16" spans="2:5">
      <c r="B16" s="1360">
        <v>2026</v>
      </c>
      <c r="C16" s="1360">
        <v>319470.8823</v>
      </c>
      <c r="D16" s="1360">
        <v>1104233.2</v>
      </c>
      <c r="E16" s="48">
        <v>2.4564439552367934</v>
      </c>
    </row>
    <row r="17" spans="2:5">
      <c r="B17" s="1360">
        <v>2027</v>
      </c>
      <c r="C17" s="1360">
        <v>353745.76059999998</v>
      </c>
      <c r="D17" s="1360">
        <v>1649883.1</v>
      </c>
      <c r="E17" s="48">
        <v>3.6640363893028098</v>
      </c>
    </row>
    <row r="18" spans="2:5">
      <c r="B18" s="1360">
        <v>2028</v>
      </c>
      <c r="C18" s="1360">
        <v>385837.3861</v>
      </c>
      <c r="D18" s="1360">
        <v>1843991.9</v>
      </c>
      <c r="E18" s="48">
        <v>3.7791944648984339</v>
      </c>
    </row>
    <row r="19" spans="2:5" ht="15" thickBot="1">
      <c r="B19" s="1360"/>
      <c r="C19" s="1360"/>
      <c r="D19" s="1360"/>
      <c r="E19" s="48"/>
    </row>
    <row r="20" spans="2:5">
      <c r="B20" s="1816" t="s">
        <v>1318</v>
      </c>
      <c r="C20" s="1817"/>
      <c r="D20" s="1817"/>
      <c r="E20" s="1818"/>
    </row>
    <row r="21" spans="2:5">
      <c r="B21" s="1301" t="s">
        <v>50</v>
      </c>
      <c r="C21" s="1301" t="s">
        <v>1315</v>
      </c>
      <c r="D21" s="1301" t="s">
        <v>1316</v>
      </c>
      <c r="E21" s="1302" t="s">
        <v>1317</v>
      </c>
    </row>
    <row r="22" spans="2:5">
      <c r="B22" s="1360">
        <v>2024</v>
      </c>
      <c r="C22" s="1360">
        <v>30044.5</v>
      </c>
      <c r="D22" s="1360">
        <v>568517.19999999995</v>
      </c>
      <c r="E22" s="48">
        <v>17.922504950989364</v>
      </c>
    </row>
    <row r="23" spans="2:5">
      <c r="B23" s="1360">
        <v>2025</v>
      </c>
      <c r="C23" s="1360">
        <v>47559.5</v>
      </c>
      <c r="D23" s="1360">
        <v>615741.1</v>
      </c>
      <c r="E23" s="48">
        <v>11.946753014644813</v>
      </c>
    </row>
    <row r="24" spans="2:5">
      <c r="B24" s="1360">
        <v>2026</v>
      </c>
      <c r="C24" s="1360">
        <v>60093</v>
      </c>
      <c r="D24" s="1360">
        <v>844855.3</v>
      </c>
      <c r="E24" s="48">
        <v>13.059130015143195</v>
      </c>
    </row>
    <row r="25" spans="2:5">
      <c r="B25" s="1360">
        <v>2027</v>
      </c>
      <c r="C25" s="1360">
        <v>56251.7</v>
      </c>
      <c r="D25" s="1360">
        <v>1352389.1</v>
      </c>
      <c r="E25" s="48">
        <v>23.041746293889787</v>
      </c>
    </row>
    <row r="26" spans="2:5">
      <c r="B26" s="1360">
        <v>2028</v>
      </c>
      <c r="C26" s="1360">
        <v>83722.478489999994</v>
      </c>
      <c r="D26" s="1360">
        <v>1541877</v>
      </c>
      <c r="E26" s="48">
        <v>17.416523588514707</v>
      </c>
    </row>
    <row r="27" spans="2:5" ht="15" thickBot="1">
      <c r="B27" s="1360"/>
      <c r="C27" s="1360"/>
      <c r="D27" s="1360"/>
      <c r="E27" s="48"/>
    </row>
    <row r="28" spans="2:5">
      <c r="B28" s="1816" t="s">
        <v>833</v>
      </c>
      <c r="C28" s="1817"/>
      <c r="D28" s="1817"/>
      <c r="E28" s="1818"/>
    </row>
    <row r="29" spans="2:5">
      <c r="B29" s="1301" t="s">
        <v>50</v>
      </c>
      <c r="C29" s="1301" t="s">
        <v>1315</v>
      </c>
      <c r="D29" s="1301" t="s">
        <v>1316</v>
      </c>
      <c r="E29" s="1302" t="s">
        <v>1317</v>
      </c>
    </row>
    <row r="30" spans="2:5">
      <c r="B30" s="1360">
        <v>2024</v>
      </c>
      <c r="C30" s="1360">
        <v>1554.8595647575</v>
      </c>
      <c r="D30" s="1360">
        <v>37253.656929999997</v>
      </c>
      <c r="E30" s="48">
        <v>22.959499477890262</v>
      </c>
    </row>
    <row r="31" spans="2:5">
      <c r="B31" s="1360">
        <v>2025</v>
      </c>
      <c r="C31" s="1360">
        <v>3178.1868950364301</v>
      </c>
      <c r="D31" s="1360">
        <v>50526.65</v>
      </c>
      <c r="E31" s="48">
        <v>14.89794800265226</v>
      </c>
    </row>
    <row r="32" spans="2:5">
      <c r="B32" s="1360">
        <v>2026</v>
      </c>
      <c r="C32" s="1360">
        <v>6496.2140134544597</v>
      </c>
      <c r="D32" s="1360">
        <v>71699.960000000006</v>
      </c>
      <c r="E32" s="48">
        <v>10.037191793789514</v>
      </c>
    </row>
    <row r="33" spans="2:5">
      <c r="B33" s="1360">
        <v>2027</v>
      </c>
      <c r="C33" s="1360">
        <v>6639.1307217504609</v>
      </c>
      <c r="D33" s="1360">
        <v>114650.57</v>
      </c>
      <c r="E33" s="48">
        <v>16.268912875053534</v>
      </c>
    </row>
    <row r="34" spans="2:5">
      <c r="B34" s="1360">
        <v>2028</v>
      </c>
      <c r="C34" s="1360">
        <v>10177.7873964435</v>
      </c>
      <c r="D34" s="1360">
        <v>131690.66</v>
      </c>
      <c r="E34" s="48">
        <v>11.939026418061911</v>
      </c>
    </row>
  </sheetData>
  <mergeCells count="4">
    <mergeCell ref="B28:E28"/>
    <mergeCell ref="B20:E20"/>
    <mergeCell ref="B12:E12"/>
    <mergeCell ref="B4:E4"/>
  </mergeCells>
  <hyperlinks>
    <hyperlink ref="C2" location="Indice!A1" display="INDICE" xr:uid="{00000000-0004-0000-2000-000000000000}"/>
  </hyperlink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92D050"/>
  </sheetPr>
  <dimension ref="B2:CE58"/>
  <sheetViews>
    <sheetView showGridLines="0" topLeftCell="A18" zoomScale="85" zoomScaleNormal="85" workbookViewId="0">
      <selection activeCell="C48" sqref="C48"/>
    </sheetView>
  </sheetViews>
  <sheetFormatPr defaultColWidth="11.42578125" defaultRowHeight="14.45"/>
  <cols>
    <col min="2" max="2" width="19.85546875" bestFit="1" customWidth="1"/>
    <col min="3" max="3" width="50.42578125" bestFit="1" customWidth="1"/>
    <col min="4" max="15" width="0" hidden="1" customWidth="1"/>
    <col min="16" max="16" width="14.28515625" bestFit="1" customWidth="1"/>
    <col min="17" max="28" width="0" hidden="1" customWidth="1"/>
    <col min="29" max="29" width="14.28515625" bestFit="1" customWidth="1"/>
    <col min="30" max="30" width="12.85546875" hidden="1" customWidth="1"/>
    <col min="31" max="41" width="0" hidden="1" customWidth="1"/>
    <col min="42" max="42" width="14.28515625" bestFit="1" customWidth="1"/>
    <col min="43" max="54" width="0" hidden="1" customWidth="1"/>
    <col min="55" max="55" width="14.28515625" bestFit="1" customWidth="1"/>
    <col min="56" max="67" width="0" hidden="1" customWidth="1"/>
    <col min="68" max="68" width="14.28515625" bestFit="1" customWidth="1"/>
    <col min="70" max="70" width="51.28515625" bestFit="1" customWidth="1"/>
    <col min="71" max="76" width="17" bestFit="1" customWidth="1"/>
    <col min="78" max="78" width="50.42578125" bestFit="1" customWidth="1"/>
    <col min="79" max="82" width="15.7109375" bestFit="1" customWidth="1"/>
    <col min="83" max="83" width="16.5703125" bestFit="1" customWidth="1"/>
  </cols>
  <sheetData>
    <row r="2" spans="2:83">
      <c r="B2" t="s">
        <v>48</v>
      </c>
      <c r="C2" s="337" t="s">
        <v>49</v>
      </c>
    </row>
    <row r="3" spans="2:83" ht="15" thickBot="1"/>
    <row r="4" spans="2:83" ht="15" customHeight="1" thickBot="1">
      <c r="B4" s="1730"/>
      <c r="C4" s="1369"/>
      <c r="D4" s="1732" t="s">
        <v>1138</v>
      </c>
      <c r="E4" s="1733"/>
      <c r="F4" s="1733"/>
      <c r="G4" s="1733"/>
      <c r="H4" s="1733"/>
      <c r="I4" s="1733"/>
      <c r="J4" s="1733"/>
      <c r="K4" s="1733"/>
      <c r="L4" s="1733"/>
      <c r="M4" s="1733"/>
      <c r="N4" s="1733"/>
      <c r="O4" s="1733"/>
      <c r="P4" s="1733"/>
      <c r="Q4" s="1733"/>
      <c r="R4" s="1733"/>
      <c r="S4" s="1733"/>
      <c r="T4" s="1733"/>
      <c r="U4" s="1733"/>
      <c r="V4" s="1733"/>
      <c r="W4" s="1733"/>
      <c r="X4" s="1733"/>
      <c r="Y4" s="1733"/>
      <c r="Z4" s="1733"/>
      <c r="AA4" s="1733"/>
      <c r="AB4" s="1733"/>
      <c r="AC4" s="1733"/>
      <c r="AD4" s="1733"/>
      <c r="AE4" s="1733"/>
      <c r="AF4" s="1733"/>
      <c r="AG4" s="1733"/>
      <c r="AH4" s="1733"/>
      <c r="AI4" s="1733"/>
      <c r="AJ4" s="1733"/>
      <c r="AK4" s="1733"/>
      <c r="AL4" s="1733"/>
      <c r="AM4" s="1733"/>
      <c r="AN4" s="1733"/>
      <c r="AO4" s="1733"/>
      <c r="AP4" s="1733"/>
      <c r="AQ4" s="1733"/>
      <c r="AR4" s="1733"/>
      <c r="AS4" s="1733"/>
      <c r="AT4" s="1733"/>
      <c r="AU4" s="1733"/>
      <c r="AV4" s="1733"/>
      <c r="AW4" s="1733"/>
      <c r="AX4" s="1733"/>
      <c r="AY4" s="1733"/>
      <c r="AZ4" s="1733"/>
      <c r="BA4" s="1733"/>
      <c r="BB4" s="1733"/>
      <c r="BC4" s="1733"/>
      <c r="BD4" s="1733"/>
      <c r="BE4" s="1733"/>
      <c r="BF4" s="1733"/>
      <c r="BG4" s="1733"/>
      <c r="BH4" s="1733"/>
      <c r="BI4" s="1733"/>
      <c r="BJ4" s="1733"/>
      <c r="BK4" s="1733"/>
      <c r="BL4" s="1733"/>
      <c r="BM4" s="1733"/>
      <c r="BN4" s="1733"/>
      <c r="BO4" s="1733"/>
      <c r="BP4" s="1734"/>
      <c r="BR4" s="1755" t="s">
        <v>1175</v>
      </c>
      <c r="BS4" s="1756"/>
      <c r="BT4" s="1756"/>
      <c r="BU4" s="1756"/>
      <c r="BV4" s="1756"/>
      <c r="BW4" s="1756"/>
      <c r="BX4" s="1757"/>
      <c r="BZ4" s="1339" t="s">
        <v>1224</v>
      </c>
      <c r="CA4" s="1339">
        <v>2024</v>
      </c>
      <c r="CB4" s="1340">
        <v>2025</v>
      </c>
      <c r="CC4" s="1339">
        <v>2026</v>
      </c>
      <c r="CD4" s="1339">
        <v>2027</v>
      </c>
      <c r="CE4" s="1339">
        <v>2028</v>
      </c>
    </row>
    <row r="5" spans="2:83" ht="15" customHeight="1" thickBot="1">
      <c r="B5" s="1731"/>
      <c r="C5" s="1370"/>
      <c r="D5" s="1735"/>
      <c r="E5" s="1736"/>
      <c r="F5" s="1736"/>
      <c r="G5" s="1736"/>
      <c r="H5" s="1736"/>
      <c r="I5" s="1736"/>
      <c r="J5" s="1736"/>
      <c r="K5" s="1736"/>
      <c r="L5" s="1736"/>
      <c r="M5" s="1736"/>
      <c r="N5" s="1736"/>
      <c r="O5" s="1736"/>
      <c r="P5" s="1736"/>
      <c r="Q5" s="1736"/>
      <c r="R5" s="1736"/>
      <c r="S5" s="1736"/>
      <c r="T5" s="1736"/>
      <c r="U5" s="1736"/>
      <c r="V5" s="1736"/>
      <c r="W5" s="1736"/>
      <c r="X5" s="1736"/>
      <c r="Y5" s="1736"/>
      <c r="Z5" s="1736"/>
      <c r="AA5" s="1736"/>
      <c r="AB5" s="1736"/>
      <c r="AC5" s="1736"/>
      <c r="AD5" s="1736"/>
      <c r="AE5" s="1736"/>
      <c r="AF5" s="1736"/>
      <c r="AG5" s="1736"/>
      <c r="AH5" s="1736"/>
      <c r="AI5" s="1736"/>
      <c r="AJ5" s="1736"/>
      <c r="AK5" s="1736"/>
      <c r="AL5" s="1736"/>
      <c r="AM5" s="1736"/>
      <c r="AN5" s="1736"/>
      <c r="AO5" s="1736"/>
      <c r="AP5" s="1736"/>
      <c r="AQ5" s="1736"/>
      <c r="AR5" s="1736"/>
      <c r="AS5" s="1736"/>
      <c r="AT5" s="1736"/>
      <c r="AU5" s="1736"/>
      <c r="AV5" s="1736"/>
      <c r="AW5" s="1736"/>
      <c r="AX5" s="1736"/>
      <c r="AY5" s="1736"/>
      <c r="AZ5" s="1736"/>
      <c r="BA5" s="1736"/>
      <c r="BB5" s="1736"/>
      <c r="BC5" s="1736"/>
      <c r="BD5" s="1736"/>
      <c r="BE5" s="1736"/>
      <c r="BF5" s="1736"/>
      <c r="BG5" s="1736"/>
      <c r="BH5" s="1736"/>
      <c r="BI5" s="1736"/>
      <c r="BJ5" s="1736"/>
      <c r="BK5" s="1736"/>
      <c r="BL5" s="1736"/>
      <c r="BM5" s="1736"/>
      <c r="BN5" s="1736"/>
      <c r="BO5" s="1736"/>
      <c r="BP5" s="1737"/>
      <c r="BR5" s="1758"/>
      <c r="BS5" s="1759"/>
      <c r="BT5" s="1759"/>
      <c r="BU5" s="1759"/>
      <c r="BV5" s="1759"/>
      <c r="BW5" s="1759"/>
      <c r="BX5" s="1760"/>
      <c r="BZ5" s="238" t="s">
        <v>1143</v>
      </c>
      <c r="CA5" s="359">
        <v>351355.68480926653</v>
      </c>
      <c r="CB5" s="353">
        <v>1329930.3257603026</v>
      </c>
      <c r="CC5" s="359">
        <v>2588536.2974118697</v>
      </c>
      <c r="CD5" s="359">
        <v>2846175.9928894429</v>
      </c>
      <c r="CE5" s="359">
        <v>4537715.3089834964</v>
      </c>
    </row>
    <row r="6" spans="2:83" ht="15" thickBot="1">
      <c r="B6" s="1731"/>
      <c r="C6" s="1370"/>
      <c r="D6" s="1741">
        <v>2024</v>
      </c>
      <c r="E6" s="1742"/>
      <c r="F6" s="1742"/>
      <c r="G6" s="1742"/>
      <c r="H6" s="1742"/>
      <c r="I6" s="1742"/>
      <c r="J6" s="1742"/>
      <c r="K6" s="1742"/>
      <c r="L6" s="1742"/>
      <c r="M6" s="1742"/>
      <c r="N6" s="1742"/>
      <c r="O6" s="1742"/>
      <c r="P6" s="1743"/>
      <c r="Q6" s="1744">
        <v>2025</v>
      </c>
      <c r="R6" s="1745"/>
      <c r="S6" s="1745"/>
      <c r="T6" s="1745"/>
      <c r="U6" s="1745"/>
      <c r="V6" s="1745"/>
      <c r="W6" s="1745"/>
      <c r="X6" s="1745"/>
      <c r="Y6" s="1745"/>
      <c r="Z6" s="1745"/>
      <c r="AA6" s="1745"/>
      <c r="AB6" s="1745"/>
      <c r="AC6" s="1746"/>
      <c r="AD6" s="1747">
        <v>2026</v>
      </c>
      <c r="AE6" s="1747"/>
      <c r="AF6" s="1747"/>
      <c r="AG6" s="1747"/>
      <c r="AH6" s="1747"/>
      <c r="AI6" s="1747"/>
      <c r="AJ6" s="1747"/>
      <c r="AK6" s="1747"/>
      <c r="AL6" s="1747"/>
      <c r="AM6" s="1747"/>
      <c r="AN6" s="1747"/>
      <c r="AO6" s="1747"/>
      <c r="AP6" s="1748"/>
      <c r="AQ6" s="1744">
        <v>2027</v>
      </c>
      <c r="AR6" s="1745"/>
      <c r="AS6" s="1745"/>
      <c r="AT6" s="1745"/>
      <c r="AU6" s="1745"/>
      <c r="AV6" s="1745"/>
      <c r="AW6" s="1745"/>
      <c r="AX6" s="1745"/>
      <c r="AY6" s="1745"/>
      <c r="AZ6" s="1745"/>
      <c r="BA6" s="1745"/>
      <c r="BB6" s="1745"/>
      <c r="BC6" s="1746"/>
      <c r="BD6" s="1749">
        <v>2028</v>
      </c>
      <c r="BE6" s="1750"/>
      <c r="BF6" s="1750"/>
      <c r="BG6" s="1750"/>
      <c r="BH6" s="1750"/>
      <c r="BI6" s="1750"/>
      <c r="BJ6" s="1750"/>
      <c r="BK6" s="1750"/>
      <c r="BL6" s="1750"/>
      <c r="BM6" s="1750"/>
      <c r="BN6" s="1750"/>
      <c r="BO6" s="1750"/>
      <c r="BP6" s="1751"/>
      <c r="BR6" s="1355" t="s">
        <v>50</v>
      </c>
      <c r="BS6" s="1316" t="s">
        <v>1176</v>
      </c>
      <c r="BT6" s="1316">
        <v>2024</v>
      </c>
      <c r="BU6" s="1316">
        <v>2025</v>
      </c>
      <c r="BV6" s="1316">
        <v>2026</v>
      </c>
      <c r="BW6" s="1316">
        <v>2027</v>
      </c>
      <c r="BX6" s="1317">
        <v>2028</v>
      </c>
      <c r="BZ6" s="237" t="s">
        <v>1225</v>
      </c>
      <c r="CA6" s="360">
        <v>231693.45291405168</v>
      </c>
      <c r="CB6" s="354">
        <v>752776.38953879324</v>
      </c>
      <c r="CC6" s="360">
        <v>1366603.7033535938</v>
      </c>
      <c r="CD6" s="360">
        <v>1416356.451706877</v>
      </c>
      <c r="CE6" s="360">
        <v>2182393.1817655796</v>
      </c>
    </row>
    <row r="7" spans="2:83" ht="15" thickBot="1">
      <c r="B7" s="304" t="s">
        <v>1139</v>
      </c>
      <c r="C7" s="1136"/>
      <c r="D7" s="1134" t="s">
        <v>53</v>
      </c>
      <c r="E7" s="282" t="s">
        <v>54</v>
      </c>
      <c r="F7" s="282" t="s">
        <v>55</v>
      </c>
      <c r="G7" s="282" t="s">
        <v>56</v>
      </c>
      <c r="H7" s="282" t="s">
        <v>57</v>
      </c>
      <c r="I7" s="282" t="s">
        <v>58</v>
      </c>
      <c r="J7" s="282" t="s">
        <v>59</v>
      </c>
      <c r="K7" s="282" t="s">
        <v>60</v>
      </c>
      <c r="L7" s="282" t="s">
        <v>61</v>
      </c>
      <c r="M7" s="282" t="s">
        <v>62</v>
      </c>
      <c r="N7" s="282" t="s">
        <v>63</v>
      </c>
      <c r="O7" s="283" t="s">
        <v>64</v>
      </c>
      <c r="P7" s="460" t="s">
        <v>1140</v>
      </c>
      <c r="Q7" s="464" t="s">
        <v>53</v>
      </c>
      <c r="R7" s="458" t="s">
        <v>54</v>
      </c>
      <c r="S7" s="458" t="s">
        <v>55</v>
      </c>
      <c r="T7" s="458" t="s">
        <v>56</v>
      </c>
      <c r="U7" s="458" t="s">
        <v>57</v>
      </c>
      <c r="V7" s="458" t="s">
        <v>58</v>
      </c>
      <c r="W7" s="458" t="s">
        <v>59</v>
      </c>
      <c r="X7" s="458" t="s">
        <v>60</v>
      </c>
      <c r="Y7" s="458" t="s">
        <v>61</v>
      </c>
      <c r="Z7" s="458" t="s">
        <v>62</v>
      </c>
      <c r="AA7" s="458" t="s">
        <v>63</v>
      </c>
      <c r="AB7" s="459" t="s">
        <v>64</v>
      </c>
      <c r="AC7" s="460" t="s">
        <v>1140</v>
      </c>
      <c r="AD7" s="278" t="s">
        <v>53</v>
      </c>
      <c r="AE7" s="278" t="s">
        <v>54</v>
      </c>
      <c r="AF7" s="278" t="s">
        <v>55</v>
      </c>
      <c r="AG7" s="278" t="s">
        <v>56</v>
      </c>
      <c r="AH7" s="278" t="s">
        <v>57</v>
      </c>
      <c r="AI7" s="278" t="s">
        <v>58</v>
      </c>
      <c r="AJ7" s="278" t="s">
        <v>59</v>
      </c>
      <c r="AK7" s="278" t="s">
        <v>60</v>
      </c>
      <c r="AL7" s="278" t="s">
        <v>61</v>
      </c>
      <c r="AM7" s="278" t="s">
        <v>62</v>
      </c>
      <c r="AN7" s="278" t="s">
        <v>63</v>
      </c>
      <c r="AO7" s="1374" t="s">
        <v>64</v>
      </c>
      <c r="AP7" s="331" t="s">
        <v>1140</v>
      </c>
      <c r="AQ7" s="278" t="s">
        <v>53</v>
      </c>
      <c r="AR7" s="1375" t="s">
        <v>54</v>
      </c>
      <c r="AS7" s="1375" t="s">
        <v>55</v>
      </c>
      <c r="AT7" s="1375" t="s">
        <v>56</v>
      </c>
      <c r="AU7" s="1375" t="s">
        <v>57</v>
      </c>
      <c r="AV7" s="1375" t="s">
        <v>58</v>
      </c>
      <c r="AW7" s="1375" t="s">
        <v>59</v>
      </c>
      <c r="AX7" s="1375" t="s">
        <v>60</v>
      </c>
      <c r="AY7" s="1375" t="s">
        <v>61</v>
      </c>
      <c r="AZ7" s="1375" t="s">
        <v>62</v>
      </c>
      <c r="BA7" s="1375" t="s">
        <v>63</v>
      </c>
      <c r="BB7" s="977" t="s">
        <v>64</v>
      </c>
      <c r="BC7" s="331" t="s">
        <v>1140</v>
      </c>
      <c r="BD7" s="278" t="s">
        <v>53</v>
      </c>
      <c r="BE7" s="1375" t="s">
        <v>54</v>
      </c>
      <c r="BF7" s="1375" t="s">
        <v>55</v>
      </c>
      <c r="BG7" s="1375" t="s">
        <v>56</v>
      </c>
      <c r="BH7" s="1375" t="s">
        <v>57</v>
      </c>
      <c r="BI7" s="1375" t="s">
        <v>58</v>
      </c>
      <c r="BJ7" s="1375" t="s">
        <v>59</v>
      </c>
      <c r="BK7" s="1375" t="s">
        <v>60</v>
      </c>
      <c r="BL7" s="1375" t="s">
        <v>61</v>
      </c>
      <c r="BM7" s="1375" t="s">
        <v>62</v>
      </c>
      <c r="BN7" s="1375" t="s">
        <v>63</v>
      </c>
      <c r="BO7" s="977" t="s">
        <v>64</v>
      </c>
      <c r="BP7" s="980" t="s">
        <v>1140</v>
      </c>
      <c r="BR7" s="316" t="s">
        <v>1143</v>
      </c>
      <c r="BS7" s="216"/>
      <c r="BT7" s="216">
        <v>351355.68480926653</v>
      </c>
      <c r="BU7" s="216">
        <v>1329930.3257603026</v>
      </c>
      <c r="BV7" s="216">
        <v>2588536.2974118697</v>
      </c>
      <c r="BW7" s="216">
        <v>2846175.9928894429</v>
      </c>
      <c r="BX7" s="288">
        <v>4537715.3089834964</v>
      </c>
      <c r="BZ7" s="366" t="s">
        <v>1226</v>
      </c>
      <c r="CA7" s="361">
        <v>119662.23189521485</v>
      </c>
      <c r="CB7" s="355">
        <v>577153.93622150936</v>
      </c>
      <c r="CC7" s="361">
        <v>1221932.5940582759</v>
      </c>
      <c r="CD7" s="361">
        <v>1429819.541182566</v>
      </c>
      <c r="CE7" s="361">
        <v>2355322.1272179168</v>
      </c>
    </row>
    <row r="8" spans="2:83">
      <c r="B8" s="303" t="s">
        <v>90</v>
      </c>
      <c r="C8" s="1137"/>
      <c r="D8" s="416">
        <v>0</v>
      </c>
      <c r="E8" s="188">
        <v>0</v>
      </c>
      <c r="F8" s="188">
        <v>550.54458356127316</v>
      </c>
      <c r="G8" s="188">
        <v>785.35848762530156</v>
      </c>
      <c r="H8" s="188">
        <v>1360.0366885888977</v>
      </c>
      <c r="I8" s="188">
        <v>2424.8507215639388</v>
      </c>
      <c r="J8" s="188">
        <v>3313.8850824416522</v>
      </c>
      <c r="K8" s="188">
        <v>4670.0880093011529</v>
      </c>
      <c r="L8" s="188">
        <v>4760.23302643641</v>
      </c>
      <c r="M8" s="188">
        <v>5154.2551760817478</v>
      </c>
      <c r="N8" s="188">
        <v>5981.4709598851541</v>
      </c>
      <c r="O8" s="284">
        <v>5151.6131907619665</v>
      </c>
      <c r="P8" s="465">
        <v>34152.335926247499</v>
      </c>
      <c r="Q8" s="416">
        <v>9885.3726440701848</v>
      </c>
      <c r="R8" s="188">
        <v>9869.603558336752</v>
      </c>
      <c r="S8" s="188">
        <v>11627.499490914708</v>
      </c>
      <c r="T8" s="188">
        <v>11055.121687234268</v>
      </c>
      <c r="U8" s="188">
        <v>11483.953713773659</v>
      </c>
      <c r="V8" s="188">
        <v>12793.835369683044</v>
      </c>
      <c r="W8" s="188">
        <v>12712.950538008035</v>
      </c>
      <c r="X8" s="188">
        <v>14073.282778705983</v>
      </c>
      <c r="Y8" s="188">
        <v>13385.451910938764</v>
      </c>
      <c r="Z8" s="188">
        <v>12785.322242362925</v>
      </c>
      <c r="AA8" s="188">
        <v>13272.372769174226</v>
      </c>
      <c r="AB8" s="284">
        <v>10856.948818236187</v>
      </c>
      <c r="AC8" s="465">
        <v>143801.71552143872</v>
      </c>
      <c r="AD8" s="330">
        <v>15621.404745369633</v>
      </c>
      <c r="AE8" s="328">
        <v>15592.9696959266</v>
      </c>
      <c r="AF8" s="328">
        <v>18366.160965905932</v>
      </c>
      <c r="AG8" s="328">
        <v>17458.19530919677</v>
      </c>
      <c r="AH8" s="328">
        <v>18131.420878254197</v>
      </c>
      <c r="AI8" s="328">
        <v>20195.125697319592</v>
      </c>
      <c r="AJ8" s="328">
        <v>20063.114800706</v>
      </c>
      <c r="AK8" s="328">
        <v>22205.185439113007</v>
      </c>
      <c r="AL8" s="328">
        <v>21115.423627070664</v>
      </c>
      <c r="AM8" s="328">
        <v>20164.477870329651</v>
      </c>
      <c r="AN8" s="328">
        <v>20928.262644727442</v>
      </c>
      <c r="AO8" s="468">
        <v>17116.006882422651</v>
      </c>
      <c r="AP8" s="329">
        <v>226957.74855634218</v>
      </c>
      <c r="AQ8" s="330">
        <v>21886.334032845331</v>
      </c>
      <c r="AR8" s="328">
        <v>21842.045405797424</v>
      </c>
      <c r="AS8" s="328">
        <v>25721.430260586403</v>
      </c>
      <c r="AT8" s="328">
        <v>24444.944116722851</v>
      </c>
      <c r="AU8" s="328">
        <v>25382.548247797218</v>
      </c>
      <c r="AV8" s="328">
        <v>28265.997786819473</v>
      </c>
      <c r="AW8" s="328">
        <v>28075.738392533262</v>
      </c>
      <c r="AX8" s="328">
        <v>31067.262280222723</v>
      </c>
      <c r="AY8" s="328">
        <v>29536.892516977568</v>
      </c>
      <c r="AZ8" s="328">
        <v>28201.296502819907</v>
      </c>
      <c r="BA8" s="328">
        <v>29263.954847591409</v>
      </c>
      <c r="BB8" s="468">
        <v>23928.787383321367</v>
      </c>
      <c r="BC8" s="329">
        <v>317617.23177403497</v>
      </c>
      <c r="BD8" s="330">
        <v>28680.160506497279</v>
      </c>
      <c r="BE8" s="328">
        <v>28616.83068794923</v>
      </c>
      <c r="BF8" s="328">
        <v>33693.30737495613</v>
      </c>
      <c r="BG8" s="328">
        <v>32015.368109812505</v>
      </c>
      <c r="BH8" s="328">
        <v>33237.335822402711</v>
      </c>
      <c r="BI8" s="328">
        <v>37006.45163818272</v>
      </c>
      <c r="BJ8" s="328">
        <v>36750.821313489832</v>
      </c>
      <c r="BK8" s="328">
        <v>40659.51330203512</v>
      </c>
      <c r="BL8" s="328">
        <v>38649.858580659478</v>
      </c>
      <c r="BM8" s="328">
        <v>36895.778139833667</v>
      </c>
      <c r="BN8" s="328">
        <v>38279.449377766112</v>
      </c>
      <c r="BO8" s="468">
        <v>31295.29032093233</v>
      </c>
      <c r="BP8" s="329">
        <v>415780.16517451714</v>
      </c>
      <c r="BR8" s="316" t="s">
        <v>1177</v>
      </c>
      <c r="BS8" s="216">
        <v>235000</v>
      </c>
      <c r="BT8" s="216"/>
      <c r="BU8" s="216"/>
      <c r="BV8" s="216"/>
      <c r="BW8" s="216"/>
      <c r="BX8" s="288"/>
      <c r="BZ8" s="237" t="s">
        <v>1227</v>
      </c>
      <c r="CA8" s="362">
        <v>44912.78119842973</v>
      </c>
      <c r="CB8" s="300">
        <v>86284.845415974414</v>
      </c>
      <c r="CC8" s="362">
        <v>96148.787714070495</v>
      </c>
      <c r="CD8" s="362">
        <v>98264.06104378005</v>
      </c>
      <c r="CE8" s="362">
        <v>144840.13536271825</v>
      </c>
    </row>
    <row r="9" spans="2:83">
      <c r="B9" s="455" t="s">
        <v>1142</v>
      </c>
      <c r="C9" s="1138"/>
      <c r="D9" s="1135">
        <v>0</v>
      </c>
      <c r="E9" s="456">
        <v>0</v>
      </c>
      <c r="F9" s="456">
        <v>4505.6000000000004</v>
      </c>
      <c r="G9" s="456">
        <v>4096</v>
      </c>
      <c r="H9" s="456">
        <v>4300.8</v>
      </c>
      <c r="I9" s="456">
        <v>4096</v>
      </c>
      <c r="J9" s="456">
        <v>4352</v>
      </c>
      <c r="K9" s="456">
        <v>4787.2</v>
      </c>
      <c r="L9" s="456">
        <v>4569.5999999999995</v>
      </c>
      <c r="M9" s="456">
        <v>4569.5999999999995</v>
      </c>
      <c r="N9" s="456">
        <v>4352</v>
      </c>
      <c r="O9" s="457">
        <v>4787.2</v>
      </c>
      <c r="P9" s="465">
        <v>44416</v>
      </c>
      <c r="Q9" s="416">
        <v>9354.24</v>
      </c>
      <c r="R9" s="188">
        <v>8908.7999999999993</v>
      </c>
      <c r="S9" s="188">
        <v>9799.68</v>
      </c>
      <c r="T9" s="188">
        <v>8908.7999999999993</v>
      </c>
      <c r="U9" s="188">
        <v>9354.24</v>
      </c>
      <c r="V9" s="188">
        <v>8908.7999999999993</v>
      </c>
      <c r="W9" s="188">
        <v>8908.7999999999993</v>
      </c>
      <c r="X9" s="188">
        <v>9799.68</v>
      </c>
      <c r="Y9" s="188">
        <v>9354.24</v>
      </c>
      <c r="Z9" s="188">
        <v>9354.24</v>
      </c>
      <c r="AA9" s="188">
        <v>8908.7999999999993</v>
      </c>
      <c r="AB9" s="284">
        <v>9799.68</v>
      </c>
      <c r="AC9" s="465">
        <v>111360.00000000003</v>
      </c>
      <c r="AD9" s="330">
        <v>18708.48</v>
      </c>
      <c r="AE9" s="328">
        <v>17817.599999999999</v>
      </c>
      <c r="AF9" s="328">
        <v>19599.36</v>
      </c>
      <c r="AG9" s="328">
        <v>17817.599999999999</v>
      </c>
      <c r="AH9" s="328">
        <v>18708.48</v>
      </c>
      <c r="AI9" s="328">
        <v>17817.599999999999</v>
      </c>
      <c r="AJ9" s="328">
        <v>17817.599999999999</v>
      </c>
      <c r="AK9" s="328">
        <v>19599.36</v>
      </c>
      <c r="AL9" s="328">
        <v>18708.48</v>
      </c>
      <c r="AM9" s="328">
        <v>18708.48</v>
      </c>
      <c r="AN9" s="328">
        <v>17817.599999999999</v>
      </c>
      <c r="AO9" s="468">
        <v>19599.36</v>
      </c>
      <c r="AP9" s="329">
        <v>222720.00000000006</v>
      </c>
      <c r="AQ9" s="416">
        <v>19353.600000000002</v>
      </c>
      <c r="AR9" s="188">
        <v>18432</v>
      </c>
      <c r="AS9" s="188">
        <v>20275.2</v>
      </c>
      <c r="AT9" s="188">
        <v>18432</v>
      </c>
      <c r="AU9" s="188">
        <v>19353.600000000002</v>
      </c>
      <c r="AV9" s="188">
        <v>18432</v>
      </c>
      <c r="AW9" s="188">
        <v>18432</v>
      </c>
      <c r="AX9" s="188">
        <v>20275.2</v>
      </c>
      <c r="AY9" s="188">
        <v>19353.600000000002</v>
      </c>
      <c r="AZ9" s="188">
        <v>19353.600000000002</v>
      </c>
      <c r="BA9" s="188">
        <v>18432</v>
      </c>
      <c r="BB9" s="284">
        <v>20275.2</v>
      </c>
      <c r="BC9" s="329">
        <v>230400.00000000006</v>
      </c>
      <c r="BD9" s="330">
        <v>29030.400000000001</v>
      </c>
      <c r="BE9" s="330">
        <v>27648</v>
      </c>
      <c r="BF9" s="330">
        <v>30412.799999999999</v>
      </c>
      <c r="BG9" s="330">
        <v>27648</v>
      </c>
      <c r="BH9" s="330">
        <v>29030.400000000001</v>
      </c>
      <c r="BI9" s="330">
        <v>27648</v>
      </c>
      <c r="BJ9" s="330">
        <v>27648</v>
      </c>
      <c r="BK9" s="330">
        <v>30412.799999999999</v>
      </c>
      <c r="BL9" s="330">
        <v>29030.400000000001</v>
      </c>
      <c r="BM9" s="330">
        <v>29030.400000000001</v>
      </c>
      <c r="BN9" s="330">
        <v>27648</v>
      </c>
      <c r="BO9" s="979">
        <v>30412.799999999999</v>
      </c>
      <c r="BP9" s="329">
        <v>345600</v>
      </c>
      <c r="BR9" s="316" t="s">
        <v>1178</v>
      </c>
      <c r="BS9" s="216">
        <v>330000</v>
      </c>
      <c r="BT9" s="216"/>
      <c r="BU9" s="216"/>
      <c r="BV9" s="216"/>
      <c r="BW9" s="216"/>
      <c r="BX9" s="288"/>
      <c r="BZ9" s="237" t="s">
        <v>1228</v>
      </c>
      <c r="CA9" s="360">
        <v>225107.93313339073</v>
      </c>
      <c r="CB9" s="354">
        <v>253103.60904137191</v>
      </c>
      <c r="CC9" s="360">
        <v>326065.35482307797</v>
      </c>
      <c r="CD9" s="360">
        <v>360285.07298849843</v>
      </c>
      <c r="CE9" s="360">
        <v>394936.01664610818</v>
      </c>
    </row>
    <row r="10" spans="2:83">
      <c r="B10" s="455" t="s">
        <v>1319</v>
      </c>
      <c r="C10" s="1138"/>
      <c r="D10" s="1135">
        <v>0</v>
      </c>
      <c r="E10" s="1135">
        <v>0</v>
      </c>
      <c r="F10" s="1135">
        <v>550.54458356127316</v>
      </c>
      <c r="G10" s="1135">
        <v>785.35848762530156</v>
      </c>
      <c r="H10" s="1135">
        <v>1360.0366885888977</v>
      </c>
      <c r="I10" s="1135">
        <v>2424.8507215639388</v>
      </c>
      <c r="J10" s="1135">
        <v>3313.8850824416522</v>
      </c>
      <c r="K10" s="1135">
        <v>4670.0880093011529</v>
      </c>
      <c r="L10" s="1135">
        <v>4760.23302643641</v>
      </c>
      <c r="M10" s="1135">
        <v>5154.2551760817478</v>
      </c>
      <c r="N10" s="1135">
        <v>5981.4709598851541</v>
      </c>
      <c r="O10" s="1135">
        <v>5151.6131907619665</v>
      </c>
      <c r="P10" s="466">
        <v>34152.335926247499</v>
      </c>
      <c r="Q10" s="416">
        <v>9885.3726440701848</v>
      </c>
      <c r="R10" s="416">
        <v>9869.603558336752</v>
      </c>
      <c r="S10" s="416">
        <v>11627.499490914708</v>
      </c>
      <c r="T10" s="416">
        <v>11055.121687234268</v>
      </c>
      <c r="U10" s="416">
        <v>11483.953713773659</v>
      </c>
      <c r="V10" s="416">
        <v>11576.672979422934</v>
      </c>
      <c r="W10" s="416">
        <v>8908.7999999999993</v>
      </c>
      <c r="X10" s="416">
        <v>9799.68</v>
      </c>
      <c r="Y10" s="416">
        <v>9354.24</v>
      </c>
      <c r="Z10" s="416">
        <v>9354.24</v>
      </c>
      <c r="AA10" s="416">
        <v>8908.7999999999993</v>
      </c>
      <c r="AB10" s="416">
        <v>9799.68</v>
      </c>
      <c r="AC10" s="465">
        <v>121623.66407375253</v>
      </c>
      <c r="AD10" s="330">
        <v>15621.404745369633</v>
      </c>
      <c r="AE10" s="330">
        <v>15592.9696959266</v>
      </c>
      <c r="AF10" s="330">
        <v>18366.160965905932</v>
      </c>
      <c r="AG10" s="330">
        <v>17458.19530919677</v>
      </c>
      <c r="AH10" s="330">
        <v>18131.420878254197</v>
      </c>
      <c r="AI10" s="330">
        <v>20195.125697319592</v>
      </c>
      <c r="AJ10" s="330">
        <v>20063.114800706</v>
      </c>
      <c r="AK10" s="330">
        <v>22205.185439113007</v>
      </c>
      <c r="AL10" s="330">
        <v>18960.982468208262</v>
      </c>
      <c r="AM10" s="330">
        <v>18708.48</v>
      </c>
      <c r="AN10" s="330">
        <v>17817.599999999999</v>
      </c>
      <c r="AO10" s="330">
        <v>17116.006882422651</v>
      </c>
      <c r="AP10" s="329">
        <v>220236.64688242268</v>
      </c>
      <c r="AQ10" s="416">
        <v>21836.953117577352</v>
      </c>
      <c r="AR10" s="416">
        <v>18432</v>
      </c>
      <c r="AS10" s="416">
        <v>20275.2</v>
      </c>
      <c r="AT10" s="416">
        <v>18432</v>
      </c>
      <c r="AU10" s="416">
        <v>19353.600000000002</v>
      </c>
      <c r="AV10" s="416">
        <v>18432</v>
      </c>
      <c r="AW10" s="416">
        <v>18432</v>
      </c>
      <c r="AX10" s="416">
        <v>20275.2</v>
      </c>
      <c r="AY10" s="416">
        <v>19353.600000000002</v>
      </c>
      <c r="AZ10" s="416">
        <v>19353.600000000002</v>
      </c>
      <c r="BA10" s="416">
        <v>18432</v>
      </c>
      <c r="BB10" s="416">
        <v>20275.2</v>
      </c>
      <c r="BC10" s="329">
        <v>232883.35311757738</v>
      </c>
      <c r="BD10" s="330">
        <v>28680.160506497279</v>
      </c>
      <c r="BE10" s="330">
        <v>27998.239493502722</v>
      </c>
      <c r="BF10" s="330">
        <v>30412.799999999999</v>
      </c>
      <c r="BG10" s="330">
        <v>27648</v>
      </c>
      <c r="BH10" s="330">
        <v>29030.400000000001</v>
      </c>
      <c r="BI10" s="330">
        <v>27648</v>
      </c>
      <c r="BJ10" s="330">
        <v>27648</v>
      </c>
      <c r="BK10" s="330">
        <v>30412.799999999999</v>
      </c>
      <c r="BL10" s="330">
        <v>29030.400000000001</v>
      </c>
      <c r="BM10" s="330">
        <v>29030.400000000001</v>
      </c>
      <c r="BN10" s="330">
        <v>27648</v>
      </c>
      <c r="BO10" s="330">
        <v>30412.799999999999</v>
      </c>
      <c r="BP10" s="329">
        <v>345600</v>
      </c>
      <c r="BR10" s="314" t="s">
        <v>1179</v>
      </c>
      <c r="BS10" s="318">
        <v>565000</v>
      </c>
      <c r="BT10" s="318">
        <v>351355.68480926653</v>
      </c>
      <c r="BU10" s="318">
        <v>1329930.3257603026</v>
      </c>
      <c r="BV10" s="318">
        <v>2588536.2974118697</v>
      </c>
      <c r="BW10" s="318">
        <v>2846175.9928894429</v>
      </c>
      <c r="BX10" s="318">
        <v>4537715.3089834964</v>
      </c>
      <c r="BZ10" s="366" t="s">
        <v>1229</v>
      </c>
      <c r="CA10" s="361">
        <v>-150358.48243660561</v>
      </c>
      <c r="CB10" s="355">
        <v>237765.48176416307</v>
      </c>
      <c r="CC10" s="361">
        <v>799718.45152112748</v>
      </c>
      <c r="CD10" s="361">
        <v>971270.40715028741</v>
      </c>
      <c r="CE10" s="361">
        <v>1815545.9752090904</v>
      </c>
    </row>
    <row r="11" spans="2:83">
      <c r="B11" s="455" t="s">
        <v>678</v>
      </c>
      <c r="C11" s="1138"/>
      <c r="D11" s="1135">
        <v>0</v>
      </c>
      <c r="E11" s="1135">
        <v>0</v>
      </c>
      <c r="F11" s="1135">
        <v>3955.0554164387272</v>
      </c>
      <c r="G11" s="1135">
        <v>7265.6969288134251</v>
      </c>
      <c r="H11" s="1135">
        <v>10206.460240224527</v>
      </c>
      <c r="I11" s="1135">
        <v>11877.609518660589</v>
      </c>
      <c r="J11" s="1135">
        <v>12915.724436218938</v>
      </c>
      <c r="K11" s="1135">
        <v>13032.836426917786</v>
      </c>
      <c r="L11" s="1135">
        <v>12842.203400481376</v>
      </c>
      <c r="M11" s="1135">
        <v>12257.548224399627</v>
      </c>
      <c r="N11" s="1135">
        <v>10628.077264514472</v>
      </c>
      <c r="O11" s="1135">
        <v>10263.664073752505</v>
      </c>
      <c r="P11" s="466">
        <v>10263.664073752501</v>
      </c>
      <c r="Q11" s="416">
        <v>9732.5314296823217</v>
      </c>
      <c r="R11" s="416">
        <v>8771.7278713455707</v>
      </c>
      <c r="S11" s="416">
        <v>6943.908380430863</v>
      </c>
      <c r="T11" s="416">
        <v>4797.5866931965938</v>
      </c>
      <c r="U11" s="416">
        <v>2667.8729794229348</v>
      </c>
      <c r="V11" s="416">
        <v>0</v>
      </c>
      <c r="W11" s="416">
        <v>0</v>
      </c>
      <c r="X11" s="416">
        <v>0</v>
      </c>
      <c r="Y11" s="416">
        <v>0</v>
      </c>
      <c r="Z11" s="416">
        <v>0</v>
      </c>
      <c r="AA11" s="416">
        <v>0</v>
      </c>
      <c r="AB11" s="416">
        <v>0</v>
      </c>
      <c r="AC11" s="465">
        <v>0</v>
      </c>
      <c r="AD11" s="330">
        <v>3087.0752546303665</v>
      </c>
      <c r="AE11" s="330">
        <v>5311.7055587037648</v>
      </c>
      <c r="AF11" s="330">
        <v>6544.9045927978332</v>
      </c>
      <c r="AG11" s="330">
        <v>6904.3092836010619</v>
      </c>
      <c r="AH11" s="330">
        <v>7481.3684053468642</v>
      </c>
      <c r="AI11" s="330">
        <v>5103.8427080272704</v>
      </c>
      <c r="AJ11" s="330">
        <v>2858.3279073212689</v>
      </c>
      <c r="AK11" s="330">
        <v>252.50246820826214</v>
      </c>
      <c r="AL11" s="330">
        <v>0</v>
      </c>
      <c r="AM11" s="330">
        <v>0</v>
      </c>
      <c r="AN11" s="330">
        <v>0</v>
      </c>
      <c r="AO11" s="330">
        <v>2483.3531175773496</v>
      </c>
      <c r="AP11" s="329">
        <v>2483.3531175773496</v>
      </c>
      <c r="AQ11" s="416">
        <v>0</v>
      </c>
      <c r="AR11" s="416">
        <v>0</v>
      </c>
      <c r="AS11" s="416">
        <v>0</v>
      </c>
      <c r="AT11" s="416">
        <v>0</v>
      </c>
      <c r="AU11" s="416">
        <v>0</v>
      </c>
      <c r="AV11" s="416">
        <v>0</v>
      </c>
      <c r="AW11" s="416">
        <v>0</v>
      </c>
      <c r="AX11" s="416">
        <v>0</v>
      </c>
      <c r="AY11" s="416">
        <v>0</v>
      </c>
      <c r="AZ11" s="416">
        <v>0</v>
      </c>
      <c r="BA11" s="416">
        <v>0</v>
      </c>
      <c r="BB11" s="416">
        <v>0</v>
      </c>
      <c r="BC11" s="329">
        <v>0</v>
      </c>
      <c r="BD11" s="330">
        <v>350.23949350272233</v>
      </c>
      <c r="BE11" s="330">
        <v>0</v>
      </c>
      <c r="BF11" s="330">
        <v>0</v>
      </c>
      <c r="BG11" s="330">
        <v>0</v>
      </c>
      <c r="BH11" s="330">
        <v>0</v>
      </c>
      <c r="BI11" s="330">
        <v>0</v>
      </c>
      <c r="BJ11" s="330">
        <v>0</v>
      </c>
      <c r="BK11" s="330">
        <v>0</v>
      </c>
      <c r="BL11" s="330">
        <v>0</v>
      </c>
      <c r="BM11" s="330">
        <v>0</v>
      </c>
      <c r="BN11" s="330">
        <v>0</v>
      </c>
      <c r="BO11" s="330">
        <v>0</v>
      </c>
      <c r="BP11" s="329">
        <v>0</v>
      </c>
      <c r="BR11" s="301" t="s">
        <v>1144</v>
      </c>
      <c r="BS11" s="212"/>
      <c r="BT11" s="212">
        <v>231845.51680845337</v>
      </c>
      <c r="BU11" s="212">
        <v>594072.40004342445</v>
      </c>
      <c r="BV11" s="212">
        <v>1214283.9856887595</v>
      </c>
      <c r="BW11" s="212">
        <v>1283791.2759040473</v>
      </c>
      <c r="BX11" s="286">
        <v>1968052.0259609038</v>
      </c>
      <c r="BZ11" s="237" t="s">
        <v>1094</v>
      </c>
      <c r="CA11" s="362">
        <v>20878.162111388196</v>
      </c>
      <c r="CB11" s="300">
        <v>20878.162111388196</v>
      </c>
      <c r="CC11" s="362">
        <v>33260.836398058593</v>
      </c>
      <c r="CD11" s="362">
        <v>33260.836398058593</v>
      </c>
      <c r="CE11" s="362">
        <v>33732.996008009664</v>
      </c>
    </row>
    <row r="12" spans="2:83" ht="15" thickBot="1">
      <c r="B12" s="455" t="s">
        <v>1143</v>
      </c>
      <c r="C12" s="1138"/>
      <c r="D12" s="946">
        <v>0</v>
      </c>
      <c r="E12" s="946">
        <v>0</v>
      </c>
      <c r="F12" s="946">
        <v>2831.972746943778</v>
      </c>
      <c r="G12" s="946">
        <v>6871.8160220312393</v>
      </c>
      <c r="H12" s="946">
        <v>11035.801371728614</v>
      </c>
      <c r="I12" s="946">
        <v>19469.264280956289</v>
      </c>
      <c r="J12" s="946">
        <v>29519.758951630036</v>
      </c>
      <c r="K12" s="946">
        <v>41069.142960029945</v>
      </c>
      <c r="L12" s="946">
        <v>48509.081672160515</v>
      </c>
      <c r="M12" s="946">
        <v>50999.612434298193</v>
      </c>
      <c r="N12" s="946">
        <v>57281.596942598902</v>
      </c>
      <c r="O12" s="946">
        <v>57268.006707317596</v>
      </c>
      <c r="P12" s="920">
        <v>324856.05408969516</v>
      </c>
      <c r="Q12" s="950">
        <v>57268.006707317596</v>
      </c>
      <c r="R12" s="950">
        <v>80546.912393382838</v>
      </c>
      <c r="S12" s="950">
        <v>108008.34745581381</v>
      </c>
      <c r="T12" s="950">
        <v>117533.25094636617</v>
      </c>
      <c r="U12" s="950">
        <v>124014.95219820205</v>
      </c>
      <c r="V12" s="950">
        <v>123230.13008480583</v>
      </c>
      <c r="W12" s="950">
        <v>126081.65937067146</v>
      </c>
      <c r="X12" s="950">
        <v>112002.26518565054</v>
      </c>
      <c r="Y12" s="950">
        <v>102286.73461848796</v>
      </c>
      <c r="Z12" s="950">
        <v>104722.13306178529</v>
      </c>
      <c r="AA12" s="950">
        <v>102286.73461848796</v>
      </c>
      <c r="AB12" s="950">
        <v>99851.33617519062</v>
      </c>
      <c r="AC12" s="1142">
        <v>1257832.4628161623</v>
      </c>
      <c r="AD12" s="950">
        <v>102286.73461848796</v>
      </c>
      <c r="AE12" s="950">
        <v>144357.71061593777</v>
      </c>
      <c r="AF12" s="950">
        <v>181392.64826306715</v>
      </c>
      <c r="AG12" s="950">
        <v>197342.94707863205</v>
      </c>
      <c r="AH12" s="950">
        <v>208182.12677244522</v>
      </c>
      <c r="AI12" s="950">
        <v>206818.00761533278</v>
      </c>
      <c r="AJ12" s="950">
        <v>222722.82903493024</v>
      </c>
      <c r="AK12" s="950">
        <v>233948.26867608595</v>
      </c>
      <c r="AL12" s="950">
        <v>245629.10695194482</v>
      </c>
      <c r="AM12" s="950">
        <v>239224.40699859173</v>
      </c>
      <c r="AN12" s="950">
        <v>218904.38870095002</v>
      </c>
      <c r="AO12" s="950">
        <v>212259.97638777323</v>
      </c>
      <c r="AP12" s="1142">
        <v>2413069.1517141787</v>
      </c>
      <c r="AQ12" s="950">
        <v>203005.81316152145</v>
      </c>
      <c r="AR12" s="950">
        <v>234342.42489590804</v>
      </c>
      <c r="AS12" s="950">
        <v>248725.10334643908</v>
      </c>
      <c r="AT12" s="950">
        <v>239078.78340271319</v>
      </c>
      <c r="AU12" s="950">
        <v>239078.78340271319</v>
      </c>
      <c r="AV12" s="950">
        <v>233386.4314169343</v>
      </c>
      <c r="AW12" s="950">
        <v>233386.4314169343</v>
      </c>
      <c r="AX12" s="950">
        <v>227694.07943115541</v>
      </c>
      <c r="AY12" s="950">
        <v>239078.78340271319</v>
      </c>
      <c r="AZ12" s="950">
        <v>244771.13538849208</v>
      </c>
      <c r="BA12" s="950">
        <v>239078.78340271319</v>
      </c>
      <c r="BB12" s="950">
        <v>233386.4314169343</v>
      </c>
      <c r="BC12" s="1142">
        <v>2815012.9840851719</v>
      </c>
      <c r="BD12" s="950">
        <v>239078.78340271319</v>
      </c>
      <c r="BE12" s="950">
        <v>313516.47082029021</v>
      </c>
      <c r="BF12" s="950">
        <v>372092.65533664671</v>
      </c>
      <c r="BG12" s="950">
        <v>383467.40179876576</v>
      </c>
      <c r="BH12" s="950">
        <v>381168.08595461363</v>
      </c>
      <c r="BI12" s="950">
        <v>372092.65533664671</v>
      </c>
      <c r="BJ12" s="950">
        <v>372092.65533664671</v>
      </c>
      <c r="BK12" s="950">
        <v>363017.22471867967</v>
      </c>
      <c r="BL12" s="950">
        <v>381168.08595461363</v>
      </c>
      <c r="BM12" s="950">
        <v>390243.51657258067</v>
      </c>
      <c r="BN12" s="950">
        <v>381168.08595461369</v>
      </c>
      <c r="BO12" s="950">
        <v>372092.65533664671</v>
      </c>
      <c r="BP12" s="1142">
        <v>4321198.2765234569</v>
      </c>
      <c r="BR12" s="301" t="s">
        <v>1145</v>
      </c>
      <c r="BS12" s="212"/>
      <c r="BT12" s="212">
        <v>18658.631477708979</v>
      </c>
      <c r="BU12" s="212">
        <v>38138.242740437156</v>
      </c>
      <c r="BV12" s="212">
        <v>77954.568161453542</v>
      </c>
      <c r="BW12" s="212">
        <v>79669.568661005527</v>
      </c>
      <c r="BX12" s="286">
        <v>122133.44875732149</v>
      </c>
      <c r="BZ12" s="366" t="s">
        <v>1230</v>
      </c>
      <c r="CA12" s="361">
        <v>-171236.64454799381</v>
      </c>
      <c r="CB12" s="355">
        <v>216887.31965277487</v>
      </c>
      <c r="CC12" s="361">
        <v>766457.61512306891</v>
      </c>
      <c r="CD12" s="361">
        <v>938009.57075222884</v>
      </c>
      <c r="CE12" s="361">
        <v>1781812.9792010807</v>
      </c>
    </row>
    <row r="13" spans="2:83" ht="15" thickBot="1">
      <c r="B13" s="1145"/>
      <c r="C13" s="1145"/>
      <c r="D13" s="1146"/>
      <c r="E13" s="1147"/>
      <c r="F13" s="1147"/>
      <c r="G13" s="1147"/>
      <c r="H13" s="1147"/>
      <c r="I13" s="1147"/>
      <c r="J13" s="1147"/>
      <c r="K13" s="1147"/>
      <c r="L13" s="1147"/>
      <c r="M13" s="1147"/>
      <c r="N13" s="1147"/>
      <c r="O13" s="1148"/>
      <c r="P13" s="1149"/>
      <c r="Q13" s="1150"/>
      <c r="R13" s="1151"/>
      <c r="S13" s="1151"/>
      <c r="T13" s="1151"/>
      <c r="U13" s="1151"/>
      <c r="V13" s="1151"/>
      <c r="W13" s="1151"/>
      <c r="X13" s="1151"/>
      <c r="Y13" s="1151"/>
      <c r="Z13" s="1151"/>
      <c r="AA13" s="1151"/>
      <c r="AB13" s="1152"/>
      <c r="AC13" s="1153"/>
      <c r="AD13" s="1150"/>
      <c r="AE13" s="1150"/>
      <c r="AF13" s="1150"/>
      <c r="AG13" s="1150"/>
      <c r="AH13" s="1150"/>
      <c r="AI13" s="1150"/>
      <c r="AJ13" s="1150"/>
      <c r="AK13" s="1150"/>
      <c r="AL13" s="1150"/>
      <c r="AM13" s="1150"/>
      <c r="AN13" s="1150"/>
      <c r="AO13" s="1154"/>
      <c r="AP13" s="1153"/>
      <c r="AQ13" s="1150"/>
      <c r="AR13" s="1151"/>
      <c r="AS13" s="1151"/>
      <c r="AT13" s="1151"/>
      <c r="AU13" s="1151"/>
      <c r="AV13" s="1151"/>
      <c r="AW13" s="1151"/>
      <c r="AX13" s="1151"/>
      <c r="AY13" s="1151"/>
      <c r="AZ13" s="1151"/>
      <c r="BA13" s="1151"/>
      <c r="BB13" s="1152"/>
      <c r="BC13" s="1153"/>
      <c r="BD13" s="1150"/>
      <c r="BE13" s="1151"/>
      <c r="BF13" s="1151"/>
      <c r="BG13" s="1151"/>
      <c r="BH13" s="1151"/>
      <c r="BI13" s="1151"/>
      <c r="BJ13" s="1151"/>
      <c r="BK13" s="1151"/>
      <c r="BL13" s="1151"/>
      <c r="BM13" s="1151"/>
      <c r="BN13" s="1151"/>
      <c r="BO13" s="1152"/>
      <c r="BP13" s="1149"/>
      <c r="BR13" s="301" t="s">
        <v>1146</v>
      </c>
      <c r="BS13" s="212"/>
      <c r="BT13" s="212">
        <v>44912.78119842973</v>
      </c>
      <c r="BU13" s="212">
        <v>86284.845415974414</v>
      </c>
      <c r="BV13" s="212">
        <v>96148.787714070495</v>
      </c>
      <c r="BW13" s="212">
        <v>98264.06104378005</v>
      </c>
      <c r="BX13" s="286">
        <v>144840.13536271825</v>
      </c>
      <c r="BZ13" s="237" t="s">
        <v>1231</v>
      </c>
      <c r="CA13" s="368">
        <v>393254.28</v>
      </c>
      <c r="CB13" s="300">
        <v>60566.879999999983</v>
      </c>
      <c r="CC13" s="362">
        <v>60566.879999999983</v>
      </c>
      <c r="CD13" s="362">
        <v>60566.879999999983</v>
      </c>
      <c r="CE13" s="362">
        <v>0</v>
      </c>
    </row>
    <row r="14" spans="2:83" ht="15" thickBot="1">
      <c r="B14" s="1119" t="s">
        <v>1144</v>
      </c>
      <c r="C14" s="312"/>
      <c r="D14" s="1122">
        <v>0</v>
      </c>
      <c r="E14" s="926">
        <v>0</v>
      </c>
      <c r="F14" s="926">
        <v>23518.623030713428</v>
      </c>
      <c r="G14" s="926">
        <v>21380.566391557659</v>
      </c>
      <c r="H14" s="926">
        <v>22449.594711135542</v>
      </c>
      <c r="I14" s="926">
        <v>21380.566391557659</v>
      </c>
      <c r="J14" s="926">
        <v>22716.851791030014</v>
      </c>
      <c r="K14" s="926">
        <v>24988.536970133013</v>
      </c>
      <c r="L14" s="926">
        <v>23852.69438058151</v>
      </c>
      <c r="M14" s="926">
        <v>23852.69438058151</v>
      </c>
      <c r="N14" s="926">
        <v>22716.851791030014</v>
      </c>
      <c r="O14" s="1123">
        <v>24988.536970133013</v>
      </c>
      <c r="P14" s="927">
        <v>231845.51680845337</v>
      </c>
      <c r="Q14" s="926">
        <v>49902.081603647639</v>
      </c>
      <c r="R14" s="926">
        <v>47525.792003473936</v>
      </c>
      <c r="S14" s="926">
        <v>52278.371203821334</v>
      </c>
      <c r="T14" s="926">
        <v>47525.792003473936</v>
      </c>
      <c r="U14" s="926">
        <v>49902.081603647639</v>
      </c>
      <c r="V14" s="926">
        <v>47525.792003473936</v>
      </c>
      <c r="W14" s="926">
        <v>47525.792003473936</v>
      </c>
      <c r="X14" s="926">
        <v>52278.371203821334</v>
      </c>
      <c r="Y14" s="926">
        <v>49902.081603647639</v>
      </c>
      <c r="Z14" s="926">
        <v>49902.081603647639</v>
      </c>
      <c r="AA14" s="926">
        <v>47525.792003473936</v>
      </c>
      <c r="AB14" s="928">
        <v>52278.371203821334</v>
      </c>
      <c r="AC14" s="927">
        <v>594072.40004342422</v>
      </c>
      <c r="AD14" s="926">
        <v>101999.85479785578</v>
      </c>
      <c r="AE14" s="1108">
        <v>97142.718855100728</v>
      </c>
      <c r="AF14" s="1108">
        <v>106856.99074061081</v>
      </c>
      <c r="AG14" s="1108">
        <v>97142.718855100728</v>
      </c>
      <c r="AH14" s="1108">
        <v>101999.85479785578</v>
      </c>
      <c r="AI14" s="1108">
        <v>97142.718855100728</v>
      </c>
      <c r="AJ14" s="1108">
        <v>97142.718855100728</v>
      </c>
      <c r="AK14" s="1108">
        <v>106856.99074061081</v>
      </c>
      <c r="AL14" s="1108">
        <v>101999.85479785578</v>
      </c>
      <c r="AM14" s="1108">
        <v>101999.85479785578</v>
      </c>
      <c r="AN14" s="1108">
        <v>97142.718855100728</v>
      </c>
      <c r="AO14" s="1109">
        <v>106856.99074061081</v>
      </c>
      <c r="AP14" s="927">
        <v>1214283.985688759</v>
      </c>
      <c r="AQ14" s="926">
        <v>107838.46717593995</v>
      </c>
      <c r="AR14" s="1108">
        <v>102703.30207232376</v>
      </c>
      <c r="AS14" s="1108">
        <v>112973.63227955613</v>
      </c>
      <c r="AT14" s="1108">
        <v>102703.30207232376</v>
      </c>
      <c r="AU14" s="1108">
        <v>107838.46717593995</v>
      </c>
      <c r="AV14" s="1108">
        <v>102703.30207232376</v>
      </c>
      <c r="AW14" s="1108">
        <v>102703.30207232376</v>
      </c>
      <c r="AX14" s="1108">
        <v>112973.63227955613</v>
      </c>
      <c r="AY14" s="1108">
        <v>107838.46717593995</v>
      </c>
      <c r="AZ14" s="1108">
        <v>107838.46717593995</v>
      </c>
      <c r="BA14" s="1108">
        <v>102703.30207232376</v>
      </c>
      <c r="BB14" s="1109">
        <v>112973.63227955613</v>
      </c>
      <c r="BC14" s="927">
        <v>1283791.2759040468</v>
      </c>
      <c r="BD14" s="926">
        <v>165316.37018071592</v>
      </c>
      <c r="BE14" s="1108">
        <v>157444.16207687231</v>
      </c>
      <c r="BF14" s="1108">
        <v>173188.57828455954</v>
      </c>
      <c r="BG14" s="1108">
        <v>157444.16207687231</v>
      </c>
      <c r="BH14" s="1108">
        <v>165316.37018071592</v>
      </c>
      <c r="BI14" s="1108">
        <v>157444.16207687231</v>
      </c>
      <c r="BJ14" s="1108">
        <v>157444.16207687231</v>
      </c>
      <c r="BK14" s="1108">
        <v>173188.57828455954</v>
      </c>
      <c r="BL14" s="1108">
        <v>165316.37018071592</v>
      </c>
      <c r="BM14" s="1108">
        <v>165316.37018071592</v>
      </c>
      <c r="BN14" s="1108">
        <v>157444.16207687231</v>
      </c>
      <c r="BO14" s="1109">
        <v>173188.57828455954</v>
      </c>
      <c r="BP14" s="927">
        <v>1968052.0259609038</v>
      </c>
      <c r="BR14" s="301" t="s">
        <v>1180</v>
      </c>
      <c r="BS14" s="212"/>
      <c r="BT14" s="212">
        <v>225107.93313339073</v>
      </c>
      <c r="BU14" s="212">
        <v>253103.60904137191</v>
      </c>
      <c r="BV14" s="212">
        <v>326065.35482307797</v>
      </c>
      <c r="BW14" s="212">
        <v>360285.07298849843</v>
      </c>
      <c r="BX14" s="286">
        <v>394936.01664610818</v>
      </c>
      <c r="BZ14" s="237" t="s">
        <v>1232</v>
      </c>
      <c r="CA14" s="363">
        <v>5270.3352721389974</v>
      </c>
      <c r="CB14" s="356">
        <v>19948.954886404539</v>
      </c>
      <c r="CC14" s="363">
        <v>38828.044461178048</v>
      </c>
      <c r="CD14" s="363">
        <v>42692.639893341642</v>
      </c>
      <c r="CE14" s="363">
        <v>68065.729634752439</v>
      </c>
    </row>
    <row r="15" spans="2:83" ht="15" thickBot="1">
      <c r="B15" s="1380" t="s">
        <v>1145</v>
      </c>
      <c r="C15" s="463" t="s">
        <v>675</v>
      </c>
      <c r="D15" s="1143">
        <v>1554.8859564757483</v>
      </c>
      <c r="E15" s="930">
        <v>1554.8859564757483</v>
      </c>
      <c r="F15" s="930">
        <v>1554.8859564757483</v>
      </c>
      <c r="G15" s="930">
        <v>1554.8859564757483</v>
      </c>
      <c r="H15" s="930">
        <v>1554.8859564757483</v>
      </c>
      <c r="I15" s="930">
        <v>1554.8859564757483</v>
      </c>
      <c r="J15" s="930">
        <v>1554.8859564757483</v>
      </c>
      <c r="K15" s="930">
        <v>1554.8859564757483</v>
      </c>
      <c r="L15" s="930">
        <v>1554.8859564757483</v>
      </c>
      <c r="M15" s="930">
        <v>1554.8859564757483</v>
      </c>
      <c r="N15" s="930">
        <v>1554.8859564757483</v>
      </c>
      <c r="O15" s="1144">
        <v>1554.8859564757483</v>
      </c>
      <c r="P15" s="1141">
        <v>18658.631477708976</v>
      </c>
      <c r="Q15" s="930">
        <v>3178.1868950364296</v>
      </c>
      <c r="R15" s="930">
        <v>3178.1868950364296</v>
      </c>
      <c r="S15" s="930">
        <v>3178.1868950364296</v>
      </c>
      <c r="T15" s="930">
        <v>3178.1868950364296</v>
      </c>
      <c r="U15" s="930">
        <v>3178.1868950364296</v>
      </c>
      <c r="V15" s="930">
        <v>3178.1868950364296</v>
      </c>
      <c r="W15" s="930">
        <v>3178.1868950364296</v>
      </c>
      <c r="X15" s="930">
        <v>3178.1868950364296</v>
      </c>
      <c r="Y15" s="930">
        <v>3178.1868950364296</v>
      </c>
      <c r="Z15" s="930">
        <v>3178.1868950364296</v>
      </c>
      <c r="AA15" s="930">
        <v>3178.1868950364296</v>
      </c>
      <c r="AB15" s="978">
        <v>3178.1868950364296</v>
      </c>
      <c r="AC15" s="1141">
        <v>38138.242740437156</v>
      </c>
      <c r="AD15" s="1139">
        <v>6496.2140134544616</v>
      </c>
      <c r="AE15" s="1139">
        <v>6496.2140134544616</v>
      </c>
      <c r="AF15" s="1139">
        <v>6496.2140134544616</v>
      </c>
      <c r="AG15" s="1139">
        <v>6496.2140134544616</v>
      </c>
      <c r="AH15" s="1139">
        <v>6496.2140134544616</v>
      </c>
      <c r="AI15" s="1139">
        <v>6496.2140134544616</v>
      </c>
      <c r="AJ15" s="1139">
        <v>6496.2140134544616</v>
      </c>
      <c r="AK15" s="1139">
        <v>6496.2140134544616</v>
      </c>
      <c r="AL15" s="1139">
        <v>6496.2140134544616</v>
      </c>
      <c r="AM15" s="1139">
        <v>6496.2140134544616</v>
      </c>
      <c r="AN15" s="1139">
        <v>6496.2140134544616</v>
      </c>
      <c r="AO15" s="1140">
        <v>6496.2140134544616</v>
      </c>
      <c r="AP15" s="1141">
        <v>77954.568161453542</v>
      </c>
      <c r="AQ15" s="930">
        <v>6639.1307217504609</v>
      </c>
      <c r="AR15" s="930">
        <v>6639.1307217504609</v>
      </c>
      <c r="AS15" s="930">
        <v>6639.1307217504609</v>
      </c>
      <c r="AT15" s="930">
        <v>6639.1307217504609</v>
      </c>
      <c r="AU15" s="930">
        <v>6639.1307217504609</v>
      </c>
      <c r="AV15" s="930">
        <v>6639.1307217504609</v>
      </c>
      <c r="AW15" s="930">
        <v>6639.1307217504609</v>
      </c>
      <c r="AX15" s="930">
        <v>6639.1307217504609</v>
      </c>
      <c r="AY15" s="930">
        <v>6639.1307217504609</v>
      </c>
      <c r="AZ15" s="930">
        <v>6639.1307217504609</v>
      </c>
      <c r="BA15" s="930">
        <v>6639.1307217504609</v>
      </c>
      <c r="BB15" s="978">
        <v>6639.1307217504609</v>
      </c>
      <c r="BC15" s="1141">
        <v>79669.568661005527</v>
      </c>
      <c r="BD15" s="930">
        <v>10177.787396443457</v>
      </c>
      <c r="BE15" s="930">
        <v>10177.787396443457</v>
      </c>
      <c r="BF15" s="930">
        <v>10177.787396443457</v>
      </c>
      <c r="BG15" s="930">
        <v>10177.787396443457</v>
      </c>
      <c r="BH15" s="930">
        <v>10177.787396443457</v>
      </c>
      <c r="BI15" s="930">
        <v>10177.787396443457</v>
      </c>
      <c r="BJ15" s="930">
        <v>10177.787396443457</v>
      </c>
      <c r="BK15" s="930">
        <v>10177.787396443457</v>
      </c>
      <c r="BL15" s="930">
        <v>10177.787396443457</v>
      </c>
      <c r="BM15" s="930">
        <v>10177.787396443457</v>
      </c>
      <c r="BN15" s="930">
        <v>10177.787396443457</v>
      </c>
      <c r="BO15" s="978">
        <v>10177.787396443457</v>
      </c>
      <c r="BP15" s="1141">
        <v>122133.44875732147</v>
      </c>
      <c r="BR15" s="315" t="s">
        <v>1181</v>
      </c>
      <c r="BS15" s="212"/>
      <c r="BT15" s="212">
        <v>0</v>
      </c>
      <c r="BU15" s="212">
        <v>0</v>
      </c>
      <c r="BV15" s="212">
        <v>123437.06702603493</v>
      </c>
      <c r="BW15" s="212">
        <v>0</v>
      </c>
      <c r="BX15" s="286">
        <v>2082.2121270406287</v>
      </c>
      <c r="BZ15" s="366" t="s">
        <v>1233</v>
      </c>
      <c r="CA15" s="361">
        <v>-569761.25982013287</v>
      </c>
      <c r="CB15" s="1254">
        <v>136371.48476637035</v>
      </c>
      <c r="CC15" s="1254">
        <v>667062.6906618909</v>
      </c>
      <c r="CD15" s="1254">
        <v>834750.05085888715</v>
      </c>
      <c r="CE15" s="1254">
        <v>1713747.2495663282</v>
      </c>
    </row>
    <row r="16" spans="2:83">
      <c r="B16" s="1739" t="s">
        <v>1146</v>
      </c>
      <c r="C16" s="313" t="s">
        <v>676</v>
      </c>
      <c r="D16" s="958">
        <v>1624.4423187882423</v>
      </c>
      <c r="E16" s="931">
        <v>1624.4423187882423</v>
      </c>
      <c r="F16" s="931">
        <v>1624.4423187882423</v>
      </c>
      <c r="G16" s="931">
        <v>1624.4423187882423</v>
      </c>
      <c r="H16" s="931">
        <v>1624.4423187882423</v>
      </c>
      <c r="I16" s="931">
        <v>1624.4423187882423</v>
      </c>
      <c r="J16" s="931">
        <v>1624.4423187882423</v>
      </c>
      <c r="K16" s="931">
        <v>1624.4423187882423</v>
      </c>
      <c r="L16" s="931">
        <v>1624.4423187882423</v>
      </c>
      <c r="M16" s="931">
        <v>1624.4423187882423</v>
      </c>
      <c r="N16" s="931">
        <v>1624.4423187882423</v>
      </c>
      <c r="O16" s="1124">
        <v>1624.4423187882423</v>
      </c>
      <c r="P16" s="932">
        <v>19493.307825458909</v>
      </c>
      <c r="Q16" s="931">
        <v>3320.3600996031673</v>
      </c>
      <c r="R16" s="931">
        <v>3320.3600996031673</v>
      </c>
      <c r="S16" s="931">
        <v>3320.3600996031673</v>
      </c>
      <c r="T16" s="931">
        <v>3320.3600996031673</v>
      </c>
      <c r="U16" s="931">
        <v>3320.3600996031673</v>
      </c>
      <c r="V16" s="931">
        <v>3320.3600996031673</v>
      </c>
      <c r="W16" s="931">
        <v>3320.3600996031673</v>
      </c>
      <c r="X16" s="931">
        <v>3320.3600996031673</v>
      </c>
      <c r="Y16" s="931">
        <v>3320.3600996031673</v>
      </c>
      <c r="Z16" s="931">
        <v>3320.3600996031673</v>
      </c>
      <c r="AA16" s="931">
        <v>3320.3600996031673</v>
      </c>
      <c r="AB16" s="944">
        <v>3320.3600996031673</v>
      </c>
      <c r="AC16" s="932">
        <v>39844.321195238008</v>
      </c>
      <c r="AD16" s="933">
        <v>3393.408021794437</v>
      </c>
      <c r="AE16" s="933">
        <v>3393.408021794437</v>
      </c>
      <c r="AF16" s="933">
        <v>3393.408021794437</v>
      </c>
      <c r="AG16" s="933">
        <v>3393.408021794437</v>
      </c>
      <c r="AH16" s="933">
        <v>3393.408021794437</v>
      </c>
      <c r="AI16" s="933">
        <v>3393.408021794437</v>
      </c>
      <c r="AJ16" s="933">
        <v>3393.408021794437</v>
      </c>
      <c r="AK16" s="933">
        <v>3393.408021794437</v>
      </c>
      <c r="AL16" s="933">
        <v>3393.408021794437</v>
      </c>
      <c r="AM16" s="933">
        <v>3393.408021794437</v>
      </c>
      <c r="AN16" s="933">
        <v>3393.408021794437</v>
      </c>
      <c r="AO16" s="973">
        <v>3393.408021794437</v>
      </c>
      <c r="AP16" s="932">
        <v>40720.896261533235</v>
      </c>
      <c r="AQ16" s="931">
        <v>3468.0629982739147</v>
      </c>
      <c r="AR16" s="931">
        <v>3468.0629982739147</v>
      </c>
      <c r="AS16" s="931">
        <v>3468.0629982739147</v>
      </c>
      <c r="AT16" s="931">
        <v>3468.0629982739147</v>
      </c>
      <c r="AU16" s="931">
        <v>3468.0629982739147</v>
      </c>
      <c r="AV16" s="931">
        <v>3468.0629982739147</v>
      </c>
      <c r="AW16" s="931">
        <v>3468.0629982739147</v>
      </c>
      <c r="AX16" s="931">
        <v>3468.0629982739147</v>
      </c>
      <c r="AY16" s="931">
        <v>3468.0629982739147</v>
      </c>
      <c r="AZ16" s="931">
        <v>3468.0629982739147</v>
      </c>
      <c r="BA16" s="931">
        <v>3468.0629982739147</v>
      </c>
      <c r="BB16" s="944">
        <v>3468.0629982739147</v>
      </c>
      <c r="BC16" s="932">
        <v>41616.755979286972</v>
      </c>
      <c r="BD16" s="931">
        <v>5316.5405763539111</v>
      </c>
      <c r="BE16" s="931">
        <v>5316.5405763539111</v>
      </c>
      <c r="BF16" s="931">
        <v>5316.5405763539111</v>
      </c>
      <c r="BG16" s="931">
        <v>5316.5405763539111</v>
      </c>
      <c r="BH16" s="931">
        <v>5316.5405763539111</v>
      </c>
      <c r="BI16" s="931">
        <v>5316.5405763539111</v>
      </c>
      <c r="BJ16" s="931">
        <v>5316.5405763539111</v>
      </c>
      <c r="BK16" s="931">
        <v>5316.5405763539111</v>
      </c>
      <c r="BL16" s="931">
        <v>5316.5405763539111</v>
      </c>
      <c r="BM16" s="931">
        <v>5316.5405763539111</v>
      </c>
      <c r="BN16" s="931">
        <v>5316.5405763539111</v>
      </c>
      <c r="BO16" s="944">
        <v>5316.5405763539111</v>
      </c>
      <c r="BP16" s="932">
        <v>63798.486916246919</v>
      </c>
      <c r="BR16" s="315" t="s">
        <v>1182</v>
      </c>
      <c r="BS16" s="879"/>
      <c r="BT16" s="879">
        <v>393254.28</v>
      </c>
      <c r="BU16" s="879">
        <v>60566.879999999983</v>
      </c>
      <c r="BV16" s="879">
        <v>60566.879999999983</v>
      </c>
      <c r="BW16" s="879">
        <v>60566.879999999983</v>
      </c>
      <c r="BX16" s="1165">
        <v>0</v>
      </c>
      <c r="BZ16" s="237" t="s">
        <v>1161</v>
      </c>
      <c r="CA16" s="368">
        <v>0</v>
      </c>
      <c r="CB16" s="368">
        <v>0</v>
      </c>
      <c r="CC16" s="368">
        <v>0</v>
      </c>
      <c r="CD16" s="368">
        <v>0</v>
      </c>
      <c r="CE16" s="368">
        <v>0</v>
      </c>
    </row>
    <row r="17" spans="2:83" ht="15" thickBot="1">
      <c r="B17" s="1740"/>
      <c r="C17" s="462" t="s">
        <v>1147</v>
      </c>
      <c r="D17" s="965">
        <v>0</v>
      </c>
      <c r="E17" s="946">
        <v>0</v>
      </c>
      <c r="F17" s="946">
        <v>891.93457539988412</v>
      </c>
      <c r="G17" s="946">
        <v>810.84961399989459</v>
      </c>
      <c r="H17" s="946">
        <v>851.3920946998893</v>
      </c>
      <c r="I17" s="946">
        <v>810.84961399989459</v>
      </c>
      <c r="J17" s="946">
        <v>861.52771487488803</v>
      </c>
      <c r="K17" s="946">
        <v>947.68048636237677</v>
      </c>
      <c r="L17" s="946">
        <v>904.60410061863229</v>
      </c>
      <c r="M17" s="946">
        <v>904.60410061863229</v>
      </c>
      <c r="N17" s="946">
        <v>861.52771487488803</v>
      </c>
      <c r="O17" s="1125">
        <v>947.68048636237677</v>
      </c>
      <c r="P17" s="920">
        <v>8792.6505018113567</v>
      </c>
      <c r="Q17" s="946">
        <v>540.05985417257602</v>
      </c>
      <c r="R17" s="965">
        <v>514.34271825959615</v>
      </c>
      <c r="S17" s="965">
        <v>565.77699008555589</v>
      </c>
      <c r="T17" s="965">
        <v>514.34271825959615</v>
      </c>
      <c r="U17" s="965">
        <v>540.05985417257602</v>
      </c>
      <c r="V17" s="965">
        <v>514.34271825959615</v>
      </c>
      <c r="W17" s="965">
        <v>514.34271825959615</v>
      </c>
      <c r="X17" s="965">
        <v>565.77699008555589</v>
      </c>
      <c r="Y17" s="965">
        <v>540.05985417257602</v>
      </c>
      <c r="Z17" s="965">
        <v>540.05985417257602</v>
      </c>
      <c r="AA17" s="965">
        <v>514.34271825959615</v>
      </c>
      <c r="AB17" s="966">
        <v>565.77699008555589</v>
      </c>
      <c r="AC17" s="920">
        <v>6429.283978244951</v>
      </c>
      <c r="AD17" s="950">
        <v>1356.0491367271652</v>
      </c>
      <c r="AE17" s="950">
        <v>1291.4753683115857</v>
      </c>
      <c r="AF17" s="950">
        <v>1420.6229051427445</v>
      </c>
      <c r="AG17" s="950">
        <v>1291.4753683115857</v>
      </c>
      <c r="AH17" s="950">
        <v>1356.0491367271652</v>
      </c>
      <c r="AI17" s="950">
        <v>1291.4753683115857</v>
      </c>
      <c r="AJ17" s="950">
        <v>1291.4753683115857</v>
      </c>
      <c r="AK17" s="950">
        <v>1420.6229051427445</v>
      </c>
      <c r="AL17" s="950">
        <v>1356.0491367271652</v>
      </c>
      <c r="AM17" s="950">
        <v>1356.0491367271652</v>
      </c>
      <c r="AN17" s="950">
        <v>1291.4753683115857</v>
      </c>
      <c r="AO17" s="967">
        <v>1420.6229051427445</v>
      </c>
      <c r="AP17" s="920">
        <v>16143.44210389482</v>
      </c>
      <c r="AQ17" s="946">
        <v>1024.4494590546792</v>
      </c>
      <c r="AR17" s="965">
        <v>975.66615148064682</v>
      </c>
      <c r="AS17" s="965">
        <v>1073.2327666287115</v>
      </c>
      <c r="AT17" s="965">
        <v>975.66615148064682</v>
      </c>
      <c r="AU17" s="965">
        <v>1024.4494590546792</v>
      </c>
      <c r="AV17" s="965">
        <v>975.66615148064682</v>
      </c>
      <c r="AW17" s="965">
        <v>975.66615148064682</v>
      </c>
      <c r="AX17" s="965">
        <v>1073.2327666287115</v>
      </c>
      <c r="AY17" s="965">
        <v>1024.4494590546792</v>
      </c>
      <c r="AZ17" s="965">
        <v>1024.4494590546792</v>
      </c>
      <c r="BA17" s="965">
        <v>975.66615148064682</v>
      </c>
      <c r="BB17" s="966">
        <v>1073.2327666287115</v>
      </c>
      <c r="BC17" s="920">
        <v>12195.826893508083</v>
      </c>
      <c r="BD17" s="946">
        <v>1394.6794104879257</v>
      </c>
      <c r="BE17" s="946">
        <v>1328.2661052265958</v>
      </c>
      <c r="BF17" s="946">
        <v>1461.0927157492554</v>
      </c>
      <c r="BG17" s="946">
        <v>1328.2661052265958</v>
      </c>
      <c r="BH17" s="946">
        <v>1394.6794104879257</v>
      </c>
      <c r="BI17" s="946">
        <v>1328.2661052265958</v>
      </c>
      <c r="BJ17" s="946">
        <v>1328.2661052265958</v>
      </c>
      <c r="BK17" s="946">
        <v>1461.0927157492554</v>
      </c>
      <c r="BL17" s="946">
        <v>1394.6794104879257</v>
      </c>
      <c r="BM17" s="946">
        <v>1394.6794104879257</v>
      </c>
      <c r="BN17" s="946">
        <v>1328.2661052265958</v>
      </c>
      <c r="BO17" s="949">
        <v>1461.0927157492554</v>
      </c>
      <c r="BP17" s="920">
        <v>16603.326315332448</v>
      </c>
      <c r="BR17" s="301" t="s">
        <v>1161</v>
      </c>
      <c r="BS17" s="879"/>
      <c r="BT17" s="212">
        <v>0</v>
      </c>
      <c r="BU17" s="212">
        <v>0</v>
      </c>
      <c r="BV17" s="212">
        <v>0</v>
      </c>
      <c r="BW17" s="212">
        <v>0</v>
      </c>
      <c r="BX17" s="286">
        <v>0</v>
      </c>
      <c r="BZ17" s="237" t="s">
        <v>1162</v>
      </c>
      <c r="CA17" s="368">
        <v>0</v>
      </c>
      <c r="CB17" s="368">
        <v>39181.345429911104</v>
      </c>
      <c r="CC17" s="368">
        <v>0</v>
      </c>
      <c r="CD17" s="368">
        <v>0</v>
      </c>
      <c r="CE17" s="368">
        <v>0</v>
      </c>
    </row>
    <row r="18" spans="2:83">
      <c r="B18" s="1727" t="s">
        <v>1148</v>
      </c>
      <c r="C18" s="313" t="s">
        <v>1149</v>
      </c>
      <c r="D18" s="958">
        <v>2826.0674625935167</v>
      </c>
      <c r="E18" s="938">
        <v>2826.0674625935167</v>
      </c>
      <c r="F18" s="938">
        <v>2826.0674625935167</v>
      </c>
      <c r="G18" s="938">
        <v>2826.0674625935167</v>
      </c>
      <c r="H18" s="938">
        <v>2826.0674625935167</v>
      </c>
      <c r="I18" s="938">
        <v>2826.0674625935167</v>
      </c>
      <c r="J18" s="938">
        <v>2826.0674625935167</v>
      </c>
      <c r="K18" s="938">
        <v>2826.0674625935167</v>
      </c>
      <c r="L18" s="938">
        <v>2826.0674625935167</v>
      </c>
      <c r="M18" s="938">
        <v>2826.0674625935167</v>
      </c>
      <c r="N18" s="938">
        <v>2826.0674625935167</v>
      </c>
      <c r="O18" s="1126">
        <v>2826.0674625935167</v>
      </c>
      <c r="P18" s="932">
        <v>33912.809551122198</v>
      </c>
      <c r="Q18" s="931">
        <v>2888.2409467705743</v>
      </c>
      <c r="R18" s="938">
        <v>2888.2409467705743</v>
      </c>
      <c r="S18" s="938">
        <v>2888.2409467705743</v>
      </c>
      <c r="T18" s="938">
        <v>2888.2409467705743</v>
      </c>
      <c r="U18" s="938">
        <v>2888.2409467705743</v>
      </c>
      <c r="V18" s="938">
        <v>2888.2409467705743</v>
      </c>
      <c r="W18" s="938">
        <v>2888.2409467705743</v>
      </c>
      <c r="X18" s="938">
        <v>2888.2409467705743</v>
      </c>
      <c r="Y18" s="938">
        <v>2888.2409467705743</v>
      </c>
      <c r="Z18" s="938">
        <v>2888.2409467705743</v>
      </c>
      <c r="AA18" s="938">
        <v>2888.2409467705743</v>
      </c>
      <c r="AB18" s="939">
        <v>2888.2409467705743</v>
      </c>
      <c r="AC18" s="932">
        <v>34658.891361246882</v>
      </c>
      <c r="AD18" s="933">
        <v>2951.7822475995267</v>
      </c>
      <c r="AE18" s="969">
        <v>2951.7822475995267</v>
      </c>
      <c r="AF18" s="969">
        <v>2951.7822475995267</v>
      </c>
      <c r="AG18" s="969">
        <v>2951.7822475995267</v>
      </c>
      <c r="AH18" s="969">
        <v>2951.7822475995267</v>
      </c>
      <c r="AI18" s="969">
        <v>2951.7822475995267</v>
      </c>
      <c r="AJ18" s="969">
        <v>2951.7822475995267</v>
      </c>
      <c r="AK18" s="969">
        <v>2951.7822475995267</v>
      </c>
      <c r="AL18" s="969">
        <v>2951.7822475995267</v>
      </c>
      <c r="AM18" s="969">
        <v>2951.7822475995267</v>
      </c>
      <c r="AN18" s="969">
        <v>2951.7822475995267</v>
      </c>
      <c r="AO18" s="974">
        <v>2951.7822475995267</v>
      </c>
      <c r="AP18" s="932">
        <v>35421.386971194319</v>
      </c>
      <c r="AQ18" s="931">
        <v>3016.7214570467168</v>
      </c>
      <c r="AR18" s="938">
        <v>3016.7214570467168</v>
      </c>
      <c r="AS18" s="938">
        <v>3016.7214570467168</v>
      </c>
      <c r="AT18" s="938">
        <v>3016.7214570467168</v>
      </c>
      <c r="AU18" s="938">
        <v>3016.7214570467168</v>
      </c>
      <c r="AV18" s="938">
        <v>3016.7214570467168</v>
      </c>
      <c r="AW18" s="938">
        <v>3016.7214570467168</v>
      </c>
      <c r="AX18" s="938">
        <v>3016.7214570467168</v>
      </c>
      <c r="AY18" s="938">
        <v>3016.7214570467168</v>
      </c>
      <c r="AZ18" s="938">
        <v>3016.7214570467168</v>
      </c>
      <c r="BA18" s="938">
        <v>3016.7214570467168</v>
      </c>
      <c r="BB18" s="939">
        <v>3016.7214570467168</v>
      </c>
      <c r="BC18" s="932">
        <v>36200.657484560608</v>
      </c>
      <c r="BD18" s="931">
        <v>3083.0893291017446</v>
      </c>
      <c r="BE18" s="938">
        <v>3083.0893291017446</v>
      </c>
      <c r="BF18" s="938">
        <v>3083.0893291017446</v>
      </c>
      <c r="BG18" s="938">
        <v>3083.0893291017446</v>
      </c>
      <c r="BH18" s="938">
        <v>3083.0893291017446</v>
      </c>
      <c r="BI18" s="938">
        <v>3083.0893291017446</v>
      </c>
      <c r="BJ18" s="938">
        <v>3083.0893291017446</v>
      </c>
      <c r="BK18" s="938">
        <v>3083.0893291017446</v>
      </c>
      <c r="BL18" s="938">
        <v>3083.0893291017446</v>
      </c>
      <c r="BM18" s="938">
        <v>3083.0893291017446</v>
      </c>
      <c r="BN18" s="938">
        <v>3083.0893291017446</v>
      </c>
      <c r="BO18" s="939">
        <v>3083.0893291017446</v>
      </c>
      <c r="BP18" s="932">
        <v>36997.071949220939</v>
      </c>
      <c r="BR18" s="301" t="s">
        <v>1162</v>
      </c>
      <c r="BS18" s="212"/>
      <c r="BT18" s="212">
        <v>0</v>
      </c>
      <c r="BU18" s="212">
        <v>39181.345429911104</v>
      </c>
      <c r="BV18" s="212">
        <v>0</v>
      </c>
      <c r="BW18" s="212">
        <v>0</v>
      </c>
      <c r="BX18" s="286">
        <v>0</v>
      </c>
      <c r="BZ18" s="237" t="s">
        <v>1163</v>
      </c>
      <c r="CA18" s="368">
        <v>0</v>
      </c>
      <c r="CB18" s="368">
        <v>0</v>
      </c>
      <c r="CC18" s="368">
        <v>214432.44173166179</v>
      </c>
      <c r="CD18" s="368">
        <v>273123.01780061051</v>
      </c>
      <c r="CE18" s="368">
        <v>580772.03734821477</v>
      </c>
    </row>
    <row r="19" spans="2:83">
      <c r="B19" s="1728"/>
      <c r="C19" s="274" t="s">
        <v>1150</v>
      </c>
      <c r="D19" s="961">
        <v>2597.9988603491274</v>
      </c>
      <c r="E19" s="929">
        <v>2597.9988603491274</v>
      </c>
      <c r="F19" s="929">
        <v>2597.9988603491274</v>
      </c>
      <c r="G19" s="929">
        <v>2597.9988603491274</v>
      </c>
      <c r="H19" s="929">
        <v>2597.9988603491274</v>
      </c>
      <c r="I19" s="929">
        <v>2597.9988603491274</v>
      </c>
      <c r="J19" s="929">
        <v>2597.9988603491274</v>
      </c>
      <c r="K19" s="929">
        <v>2597.9988603491274</v>
      </c>
      <c r="L19" s="929">
        <v>2597.9988603491274</v>
      </c>
      <c r="M19" s="929">
        <v>2597.9988603491274</v>
      </c>
      <c r="N19" s="929">
        <v>2597.9988603491274</v>
      </c>
      <c r="O19" s="1127">
        <v>2597.9988603491274</v>
      </c>
      <c r="P19" s="943">
        <v>31175.986324189536</v>
      </c>
      <c r="Q19" s="941">
        <v>2655.1548352768082</v>
      </c>
      <c r="R19" s="929">
        <v>2655.1548352768082</v>
      </c>
      <c r="S19" s="929">
        <v>2655.1548352768082</v>
      </c>
      <c r="T19" s="929">
        <v>2655.1548352768082</v>
      </c>
      <c r="U19" s="929">
        <v>2655.1548352768082</v>
      </c>
      <c r="V19" s="929">
        <v>2655.1548352768082</v>
      </c>
      <c r="W19" s="929">
        <v>2655.1548352768082</v>
      </c>
      <c r="X19" s="929">
        <v>2655.1548352768082</v>
      </c>
      <c r="Y19" s="929">
        <v>2655.1548352768082</v>
      </c>
      <c r="Z19" s="929">
        <v>2655.1548352768082</v>
      </c>
      <c r="AA19" s="929">
        <v>2655.1548352768082</v>
      </c>
      <c r="AB19" s="942">
        <v>2655.1548352768082</v>
      </c>
      <c r="AC19" s="943">
        <v>31861.858023321696</v>
      </c>
      <c r="AD19" s="921">
        <v>2713.568241652898</v>
      </c>
      <c r="AE19" s="968">
        <v>2713.568241652898</v>
      </c>
      <c r="AF19" s="968">
        <v>2713.568241652898</v>
      </c>
      <c r="AG19" s="968">
        <v>2713.568241652898</v>
      </c>
      <c r="AH19" s="968">
        <v>2713.568241652898</v>
      </c>
      <c r="AI19" s="968">
        <v>2713.568241652898</v>
      </c>
      <c r="AJ19" s="968">
        <v>2713.568241652898</v>
      </c>
      <c r="AK19" s="968">
        <v>2713.568241652898</v>
      </c>
      <c r="AL19" s="968">
        <v>2713.568241652898</v>
      </c>
      <c r="AM19" s="968">
        <v>2713.568241652898</v>
      </c>
      <c r="AN19" s="968">
        <v>2713.568241652898</v>
      </c>
      <c r="AO19" s="975">
        <v>2713.568241652898</v>
      </c>
      <c r="AP19" s="943">
        <v>32562.818899834776</v>
      </c>
      <c r="AQ19" s="941">
        <v>2773.2667429692615</v>
      </c>
      <c r="AR19" s="929">
        <v>2773.2667429692615</v>
      </c>
      <c r="AS19" s="929">
        <v>2773.2667429692615</v>
      </c>
      <c r="AT19" s="929">
        <v>2773.2667429692615</v>
      </c>
      <c r="AU19" s="929">
        <v>2773.2667429692615</v>
      </c>
      <c r="AV19" s="929">
        <v>2773.2667429692615</v>
      </c>
      <c r="AW19" s="929">
        <v>2773.2667429692615</v>
      </c>
      <c r="AX19" s="929">
        <v>2773.2667429692615</v>
      </c>
      <c r="AY19" s="929">
        <v>2773.2667429692615</v>
      </c>
      <c r="AZ19" s="929">
        <v>2773.2667429692615</v>
      </c>
      <c r="BA19" s="929">
        <v>2773.2667429692615</v>
      </c>
      <c r="BB19" s="942">
        <v>2773.2667429692615</v>
      </c>
      <c r="BC19" s="943">
        <v>33279.200915631147</v>
      </c>
      <c r="BD19" s="941">
        <v>2834.2786113145853</v>
      </c>
      <c r="BE19" s="929">
        <v>2834.2786113145853</v>
      </c>
      <c r="BF19" s="929">
        <v>2834.2786113145853</v>
      </c>
      <c r="BG19" s="929">
        <v>2834.2786113145853</v>
      </c>
      <c r="BH19" s="929">
        <v>2834.2786113145853</v>
      </c>
      <c r="BI19" s="929">
        <v>2834.2786113145853</v>
      </c>
      <c r="BJ19" s="929">
        <v>2834.2786113145853</v>
      </c>
      <c r="BK19" s="929">
        <v>2834.2786113145853</v>
      </c>
      <c r="BL19" s="929">
        <v>2834.2786113145853</v>
      </c>
      <c r="BM19" s="929">
        <v>2834.2786113145853</v>
      </c>
      <c r="BN19" s="929">
        <v>2834.2786113145853</v>
      </c>
      <c r="BO19" s="942">
        <v>2834.2786113145853</v>
      </c>
      <c r="BP19" s="943">
        <v>34011.343335775025</v>
      </c>
      <c r="BR19" s="301" t="s">
        <v>1163</v>
      </c>
      <c r="BS19" s="212"/>
      <c r="BT19" s="212">
        <v>0</v>
      </c>
      <c r="BU19" s="212">
        <v>0</v>
      </c>
      <c r="BV19" s="212">
        <v>214432.44173166179</v>
      </c>
      <c r="BW19" s="212">
        <v>273123.01780061051</v>
      </c>
      <c r="BX19" s="286">
        <v>580772.03734821477</v>
      </c>
      <c r="BZ19" s="366" t="s">
        <v>1234</v>
      </c>
      <c r="CA19" s="364">
        <v>-569761.25982013287</v>
      </c>
      <c r="CB19" s="357">
        <v>97190.139336459251</v>
      </c>
      <c r="CC19" s="364">
        <v>452630.24893022911</v>
      </c>
      <c r="CD19" s="364">
        <v>561627.03305827663</v>
      </c>
      <c r="CE19" s="364">
        <v>1132975.2122181135</v>
      </c>
    </row>
    <row r="20" spans="2:83" ht="15" thickBot="1">
      <c r="B20" s="1728"/>
      <c r="C20" s="274" t="s">
        <v>1151</v>
      </c>
      <c r="D20" s="961">
        <v>0</v>
      </c>
      <c r="E20" s="929">
        <v>0</v>
      </c>
      <c r="F20" s="929">
        <v>0</v>
      </c>
      <c r="G20" s="929">
        <v>0</v>
      </c>
      <c r="H20" s="929">
        <v>0</v>
      </c>
      <c r="I20" s="929">
        <v>0</v>
      </c>
      <c r="J20" s="929">
        <v>0</v>
      </c>
      <c r="K20" s="929">
        <v>0</v>
      </c>
      <c r="L20" s="929">
        <v>0</v>
      </c>
      <c r="M20" s="929">
        <v>0</v>
      </c>
      <c r="N20" s="929">
        <v>0</v>
      </c>
      <c r="O20" s="1127">
        <v>0</v>
      </c>
      <c r="P20" s="943">
        <v>0</v>
      </c>
      <c r="Q20" s="941">
        <v>0</v>
      </c>
      <c r="R20" s="929">
        <v>0</v>
      </c>
      <c r="S20" s="929">
        <v>0</v>
      </c>
      <c r="T20" s="929">
        <v>0</v>
      </c>
      <c r="U20" s="929">
        <v>0</v>
      </c>
      <c r="V20" s="929">
        <v>0</v>
      </c>
      <c r="W20" s="929">
        <v>0</v>
      </c>
      <c r="X20" s="929">
        <v>0</v>
      </c>
      <c r="Y20" s="929">
        <v>0</v>
      </c>
      <c r="Z20" s="929">
        <v>0</v>
      </c>
      <c r="AA20" s="929">
        <v>0</v>
      </c>
      <c r="AB20" s="942">
        <v>0</v>
      </c>
      <c r="AC20" s="943">
        <v>0</v>
      </c>
      <c r="AD20" s="921">
        <v>2713.568241652898</v>
      </c>
      <c r="AE20" s="968">
        <v>2713.568241652898</v>
      </c>
      <c r="AF20" s="968">
        <v>2713.568241652898</v>
      </c>
      <c r="AG20" s="968">
        <v>2713.568241652898</v>
      </c>
      <c r="AH20" s="968">
        <v>2713.568241652898</v>
      </c>
      <c r="AI20" s="968">
        <v>2713.568241652898</v>
      </c>
      <c r="AJ20" s="968">
        <v>2713.568241652898</v>
      </c>
      <c r="AK20" s="968">
        <v>2713.568241652898</v>
      </c>
      <c r="AL20" s="968">
        <v>2713.568241652898</v>
      </c>
      <c r="AM20" s="968">
        <v>2713.568241652898</v>
      </c>
      <c r="AN20" s="968">
        <v>2713.568241652898</v>
      </c>
      <c r="AO20" s="975">
        <v>2713.568241652898</v>
      </c>
      <c r="AP20" s="943">
        <v>32562.818899834776</v>
      </c>
      <c r="AQ20" s="941">
        <v>2773.2667429692615</v>
      </c>
      <c r="AR20" s="929">
        <v>2773.2667429692615</v>
      </c>
      <c r="AS20" s="929">
        <v>2773.2667429692615</v>
      </c>
      <c r="AT20" s="929">
        <v>2773.2667429692615</v>
      </c>
      <c r="AU20" s="929">
        <v>2773.2667429692615</v>
      </c>
      <c r="AV20" s="929">
        <v>2773.2667429692615</v>
      </c>
      <c r="AW20" s="929">
        <v>2773.2667429692615</v>
      </c>
      <c r="AX20" s="929">
        <v>2773.2667429692615</v>
      </c>
      <c r="AY20" s="929">
        <v>2773.2667429692615</v>
      </c>
      <c r="AZ20" s="929">
        <v>2773.2667429692615</v>
      </c>
      <c r="BA20" s="929">
        <v>2773.2667429692615</v>
      </c>
      <c r="BB20" s="942">
        <v>2773.2667429692615</v>
      </c>
      <c r="BC20" s="943">
        <v>33279.200915631147</v>
      </c>
      <c r="BD20" s="941">
        <v>2834.2786113145853</v>
      </c>
      <c r="BE20" s="929">
        <v>2834.2786113145853</v>
      </c>
      <c r="BF20" s="929">
        <v>2834.2786113145853</v>
      </c>
      <c r="BG20" s="929">
        <v>2834.2786113145853</v>
      </c>
      <c r="BH20" s="929">
        <v>2834.2786113145853</v>
      </c>
      <c r="BI20" s="929">
        <v>2834.2786113145853</v>
      </c>
      <c r="BJ20" s="929">
        <v>2834.2786113145853</v>
      </c>
      <c r="BK20" s="929">
        <v>2834.2786113145853</v>
      </c>
      <c r="BL20" s="929">
        <v>2834.2786113145853</v>
      </c>
      <c r="BM20" s="929">
        <v>2834.2786113145853</v>
      </c>
      <c r="BN20" s="929">
        <v>2834.2786113145853</v>
      </c>
      <c r="BO20" s="942">
        <v>2834.2786113145853</v>
      </c>
      <c r="BP20" s="943">
        <v>34011.343335775025</v>
      </c>
      <c r="BR20" s="301" t="s">
        <v>1164</v>
      </c>
      <c r="BS20" s="212"/>
      <c r="BT20" s="212">
        <v>5270.3352721389974</v>
      </c>
      <c r="BU20" s="212">
        <v>19948.954886404539</v>
      </c>
      <c r="BV20" s="212">
        <v>38828.044461178048</v>
      </c>
      <c r="BW20" s="212">
        <v>42692.639893341642</v>
      </c>
      <c r="BX20" s="286">
        <v>68065.729634752439</v>
      </c>
      <c r="BZ20" s="367" t="s">
        <v>679</v>
      </c>
      <c r="CA20" s="365">
        <v>-569761.25982013287</v>
      </c>
      <c r="CB20" s="358">
        <v>-472571.12048367364</v>
      </c>
      <c r="CC20" s="365">
        <v>-19940.871553444536</v>
      </c>
      <c r="CD20" s="365">
        <v>541686.1615048321</v>
      </c>
      <c r="CE20" s="365">
        <v>1674661.3737229456</v>
      </c>
    </row>
    <row r="21" spans="2:83" ht="15" thickBot="1">
      <c r="B21" s="1728"/>
      <c r="C21" s="274" t="s">
        <v>1152</v>
      </c>
      <c r="D21" s="961">
        <v>0</v>
      </c>
      <c r="E21" s="929">
        <v>0</v>
      </c>
      <c r="F21" s="929">
        <v>0</v>
      </c>
      <c r="G21" s="929">
        <v>0</v>
      </c>
      <c r="H21" s="929">
        <v>0</v>
      </c>
      <c r="I21" s="929">
        <v>0</v>
      </c>
      <c r="J21" s="929">
        <v>0</v>
      </c>
      <c r="K21" s="929">
        <v>0</v>
      </c>
      <c r="L21" s="929">
        <v>0</v>
      </c>
      <c r="M21" s="929">
        <v>0</v>
      </c>
      <c r="N21" s="929">
        <v>0</v>
      </c>
      <c r="O21" s="1127">
        <v>0</v>
      </c>
      <c r="P21" s="943">
        <v>0</v>
      </c>
      <c r="Q21" s="941">
        <v>0</v>
      </c>
      <c r="R21" s="929">
        <v>0</v>
      </c>
      <c r="S21" s="929">
        <v>0</v>
      </c>
      <c r="T21" s="929">
        <v>0</v>
      </c>
      <c r="U21" s="929">
        <v>0</v>
      </c>
      <c r="V21" s="929">
        <v>0</v>
      </c>
      <c r="W21" s="929">
        <v>0</v>
      </c>
      <c r="X21" s="929">
        <v>0</v>
      </c>
      <c r="Y21" s="929">
        <v>0</v>
      </c>
      <c r="Z21" s="929">
        <v>0</v>
      </c>
      <c r="AA21" s="929">
        <v>0</v>
      </c>
      <c r="AB21" s="942">
        <v>0</v>
      </c>
      <c r="AC21" s="943">
        <v>0</v>
      </c>
      <c r="AD21" s="921">
        <v>2713.568241652898</v>
      </c>
      <c r="AE21" s="968">
        <v>2713.568241652898</v>
      </c>
      <c r="AF21" s="968">
        <v>2713.568241652898</v>
      </c>
      <c r="AG21" s="968">
        <v>2713.568241652898</v>
      </c>
      <c r="AH21" s="968">
        <v>2713.568241652898</v>
      </c>
      <c r="AI21" s="968">
        <v>2713.568241652898</v>
      </c>
      <c r="AJ21" s="968">
        <v>2713.568241652898</v>
      </c>
      <c r="AK21" s="968">
        <v>2713.568241652898</v>
      </c>
      <c r="AL21" s="968">
        <v>2713.568241652898</v>
      </c>
      <c r="AM21" s="968">
        <v>2713.568241652898</v>
      </c>
      <c r="AN21" s="968">
        <v>2713.568241652898</v>
      </c>
      <c r="AO21" s="975">
        <v>2713.568241652898</v>
      </c>
      <c r="AP21" s="943">
        <v>32562.818899834776</v>
      </c>
      <c r="AQ21" s="941">
        <v>2773.2667429692615</v>
      </c>
      <c r="AR21" s="929">
        <v>2773.2667429692615</v>
      </c>
      <c r="AS21" s="929">
        <v>2773.2667429692615</v>
      </c>
      <c r="AT21" s="929">
        <v>2773.2667429692615</v>
      </c>
      <c r="AU21" s="929">
        <v>2773.2667429692615</v>
      </c>
      <c r="AV21" s="929">
        <v>2773.2667429692615</v>
      </c>
      <c r="AW21" s="929">
        <v>2773.2667429692615</v>
      </c>
      <c r="AX21" s="929">
        <v>2773.2667429692615</v>
      </c>
      <c r="AY21" s="929">
        <v>2773.2667429692615</v>
      </c>
      <c r="AZ21" s="929">
        <v>2773.2667429692615</v>
      </c>
      <c r="BA21" s="929">
        <v>2773.2667429692615</v>
      </c>
      <c r="BB21" s="942">
        <v>2773.2667429692615</v>
      </c>
      <c r="BC21" s="943">
        <v>33279.200915631147</v>
      </c>
      <c r="BD21" s="941">
        <v>2834.2786113145853</v>
      </c>
      <c r="BE21" s="929">
        <v>2834.2786113145853</v>
      </c>
      <c r="BF21" s="929">
        <v>2834.2786113145853</v>
      </c>
      <c r="BG21" s="929">
        <v>2834.2786113145853</v>
      </c>
      <c r="BH21" s="929">
        <v>2834.2786113145853</v>
      </c>
      <c r="BI21" s="929">
        <v>2834.2786113145853</v>
      </c>
      <c r="BJ21" s="929">
        <v>2834.2786113145853</v>
      </c>
      <c r="BK21" s="929">
        <v>2834.2786113145853</v>
      </c>
      <c r="BL21" s="929">
        <v>2834.2786113145853</v>
      </c>
      <c r="BM21" s="929">
        <v>2834.2786113145853</v>
      </c>
      <c r="BN21" s="929">
        <v>2834.2786113145853</v>
      </c>
      <c r="BO21" s="942">
        <v>2834.2786113145853</v>
      </c>
      <c r="BP21" s="943">
        <v>34011.343335775025</v>
      </c>
      <c r="BR21" s="317" t="s">
        <v>1183</v>
      </c>
      <c r="BS21" s="319">
        <v>0</v>
      </c>
      <c r="BT21" s="319">
        <v>919049.47789012187</v>
      </c>
      <c r="BU21" s="319">
        <v>1091296.2775575237</v>
      </c>
      <c r="BV21" s="319">
        <v>2151717.1296062362</v>
      </c>
      <c r="BW21" s="319">
        <v>2198392.5162912835</v>
      </c>
      <c r="BX21" s="321">
        <v>3280881.6058370592</v>
      </c>
    </row>
    <row r="22" spans="2:83" ht="15" thickBot="1">
      <c r="B22" s="1728"/>
      <c r="C22" s="274" t="s">
        <v>1153</v>
      </c>
      <c r="D22" s="961">
        <v>0</v>
      </c>
      <c r="E22" s="929">
        <v>0</v>
      </c>
      <c r="F22" s="929">
        <v>0</v>
      </c>
      <c r="G22" s="929">
        <v>0</v>
      </c>
      <c r="H22" s="929">
        <v>0</v>
      </c>
      <c r="I22" s="929">
        <v>0</v>
      </c>
      <c r="J22" s="929">
        <v>0</v>
      </c>
      <c r="K22" s="929">
        <v>0</v>
      </c>
      <c r="L22" s="929">
        <v>0</v>
      </c>
      <c r="M22" s="929">
        <v>0</v>
      </c>
      <c r="N22" s="929">
        <v>0</v>
      </c>
      <c r="O22" s="1127">
        <v>0</v>
      </c>
      <c r="P22" s="943">
        <v>0</v>
      </c>
      <c r="Q22" s="941">
        <v>0</v>
      </c>
      <c r="R22" s="929">
        <v>0</v>
      </c>
      <c r="S22" s="929">
        <v>0</v>
      </c>
      <c r="T22" s="929">
        <v>0</v>
      </c>
      <c r="U22" s="929">
        <v>0</v>
      </c>
      <c r="V22" s="929">
        <v>0</v>
      </c>
      <c r="W22" s="929">
        <v>0</v>
      </c>
      <c r="X22" s="929">
        <v>0</v>
      </c>
      <c r="Y22" s="929">
        <v>0</v>
      </c>
      <c r="Z22" s="929">
        <v>0</v>
      </c>
      <c r="AA22" s="929">
        <v>0</v>
      </c>
      <c r="AB22" s="942">
        <v>0</v>
      </c>
      <c r="AC22" s="943">
        <v>0</v>
      </c>
      <c r="AD22" s="921">
        <v>0</v>
      </c>
      <c r="AE22" s="968">
        <v>0</v>
      </c>
      <c r="AF22" s="968">
        <v>0</v>
      </c>
      <c r="AG22" s="968">
        <v>0</v>
      </c>
      <c r="AH22" s="968">
        <v>0</v>
      </c>
      <c r="AI22" s="968">
        <v>0</v>
      </c>
      <c r="AJ22" s="968">
        <v>0</v>
      </c>
      <c r="AK22" s="968">
        <v>0</v>
      </c>
      <c r="AL22" s="968">
        <v>0</v>
      </c>
      <c r="AM22" s="968">
        <v>0</v>
      </c>
      <c r="AN22" s="968">
        <v>0</v>
      </c>
      <c r="AO22" s="975">
        <v>0</v>
      </c>
      <c r="AP22" s="943">
        <v>0</v>
      </c>
      <c r="AQ22" s="941">
        <v>1996.3286554351253</v>
      </c>
      <c r="AR22" s="929">
        <v>1996.3286554351253</v>
      </c>
      <c r="AS22" s="929">
        <v>1996.3286554351253</v>
      </c>
      <c r="AT22" s="929">
        <v>1996.3286554351253</v>
      </c>
      <c r="AU22" s="929">
        <v>1996.3286554351253</v>
      </c>
      <c r="AV22" s="929">
        <v>1996.3286554351253</v>
      </c>
      <c r="AW22" s="929">
        <v>1996.3286554351253</v>
      </c>
      <c r="AX22" s="929">
        <v>1996.3286554351253</v>
      </c>
      <c r="AY22" s="929">
        <v>1996.3286554351253</v>
      </c>
      <c r="AZ22" s="929">
        <v>1996.3286554351253</v>
      </c>
      <c r="BA22" s="929">
        <v>1996.3286554351253</v>
      </c>
      <c r="BB22" s="942">
        <v>1996.3286554351253</v>
      </c>
      <c r="BC22" s="943">
        <v>23955.943865221503</v>
      </c>
      <c r="BD22" s="941">
        <v>2040.2478858546979</v>
      </c>
      <c r="BE22" s="929">
        <v>2040.2478858546979</v>
      </c>
      <c r="BF22" s="929">
        <v>2040.2478858546979</v>
      </c>
      <c r="BG22" s="929">
        <v>2040.2478858546979</v>
      </c>
      <c r="BH22" s="929">
        <v>2040.2478858546979</v>
      </c>
      <c r="BI22" s="929">
        <v>2040.2478858546979</v>
      </c>
      <c r="BJ22" s="929">
        <v>2040.2478858546979</v>
      </c>
      <c r="BK22" s="929">
        <v>2040.2478858546979</v>
      </c>
      <c r="BL22" s="929">
        <v>2040.2478858546979</v>
      </c>
      <c r="BM22" s="929">
        <v>2040.2478858546979</v>
      </c>
      <c r="BN22" s="929">
        <v>2040.2478858546979</v>
      </c>
      <c r="BO22" s="942">
        <v>2040.2478858546979</v>
      </c>
      <c r="BP22" s="943">
        <v>24482.974630256373</v>
      </c>
      <c r="BR22" s="1752"/>
      <c r="BS22" s="1753"/>
      <c r="BT22" s="1753"/>
      <c r="BU22" s="1753"/>
      <c r="BV22" s="1753"/>
      <c r="BW22" s="1753"/>
      <c r="BX22" s="1754"/>
    </row>
    <row r="23" spans="2:83" ht="15" thickBot="1">
      <c r="B23" s="1729"/>
      <c r="C23" s="275" t="s">
        <v>1154</v>
      </c>
      <c r="D23" s="936">
        <v>3877.1662381546139</v>
      </c>
      <c r="E23" s="919">
        <v>3877.1662381546139</v>
      </c>
      <c r="F23" s="919">
        <v>3877.1662381546139</v>
      </c>
      <c r="G23" s="919">
        <v>3877.1662381546139</v>
      </c>
      <c r="H23" s="919">
        <v>3877.1662381546139</v>
      </c>
      <c r="I23" s="919">
        <v>3877.1662381546139</v>
      </c>
      <c r="J23" s="919">
        <v>3877.1662381546139</v>
      </c>
      <c r="K23" s="919">
        <v>3877.1662381546139</v>
      </c>
      <c r="L23" s="919">
        <v>3877.1662381546139</v>
      </c>
      <c r="M23" s="919">
        <v>3877.1662381546139</v>
      </c>
      <c r="N23" s="919">
        <v>3877.1662381546139</v>
      </c>
      <c r="O23" s="964">
        <v>3877.1662381546139</v>
      </c>
      <c r="P23" s="935">
        <v>46525.994857855352</v>
      </c>
      <c r="Q23" s="934">
        <v>3962.4638953940157</v>
      </c>
      <c r="R23" s="919">
        <v>3962.4638953940157</v>
      </c>
      <c r="S23" s="919">
        <v>3962.4638953940157</v>
      </c>
      <c r="T23" s="919">
        <v>3962.4638953940157</v>
      </c>
      <c r="U23" s="919">
        <v>3962.4638953940157</v>
      </c>
      <c r="V23" s="919">
        <v>3962.4638953940157</v>
      </c>
      <c r="W23" s="919">
        <v>3962.4638953940157</v>
      </c>
      <c r="X23" s="919">
        <v>3962.4638953940157</v>
      </c>
      <c r="Y23" s="919">
        <v>3962.4638953940157</v>
      </c>
      <c r="Z23" s="919">
        <v>3962.4638953940157</v>
      </c>
      <c r="AA23" s="919">
        <v>3962.4638953940157</v>
      </c>
      <c r="AB23" s="940">
        <v>3962.4638953940157</v>
      </c>
      <c r="AC23" s="935">
        <v>47549.566744728188</v>
      </c>
      <c r="AD23" s="937">
        <v>4049.6381010926843</v>
      </c>
      <c r="AE23" s="970">
        <v>4049.6381010926843</v>
      </c>
      <c r="AF23" s="970">
        <v>4049.6381010926843</v>
      </c>
      <c r="AG23" s="970">
        <v>4049.6381010926843</v>
      </c>
      <c r="AH23" s="970">
        <v>4049.6381010926843</v>
      </c>
      <c r="AI23" s="970">
        <v>4049.6381010926843</v>
      </c>
      <c r="AJ23" s="970">
        <v>4049.6381010926843</v>
      </c>
      <c r="AK23" s="970">
        <v>4049.6381010926843</v>
      </c>
      <c r="AL23" s="970">
        <v>4049.6381010926843</v>
      </c>
      <c r="AM23" s="970">
        <v>4049.6381010926843</v>
      </c>
      <c r="AN23" s="970">
        <v>4049.6381010926843</v>
      </c>
      <c r="AO23" s="976">
        <v>4049.6381010926843</v>
      </c>
      <c r="AP23" s="935">
        <v>48595.657213112216</v>
      </c>
      <c r="AQ23" s="934">
        <v>4138.7301393167236</v>
      </c>
      <c r="AR23" s="919">
        <v>4138.7301393167236</v>
      </c>
      <c r="AS23" s="919">
        <v>4138.7301393167236</v>
      </c>
      <c r="AT23" s="919">
        <v>4138.7301393167236</v>
      </c>
      <c r="AU23" s="919">
        <v>4138.7301393167236</v>
      </c>
      <c r="AV23" s="919">
        <v>4138.7301393167236</v>
      </c>
      <c r="AW23" s="919">
        <v>4138.7301393167236</v>
      </c>
      <c r="AX23" s="919">
        <v>4138.7301393167236</v>
      </c>
      <c r="AY23" s="919">
        <v>4138.7301393167236</v>
      </c>
      <c r="AZ23" s="919">
        <v>4138.7301393167236</v>
      </c>
      <c r="BA23" s="919">
        <v>4138.7301393167236</v>
      </c>
      <c r="BB23" s="940">
        <v>4138.7301393167236</v>
      </c>
      <c r="BC23" s="935">
        <v>49664.761671800668</v>
      </c>
      <c r="BD23" s="934">
        <v>4229.7822023816916</v>
      </c>
      <c r="BE23" s="919">
        <v>4229.7822023816916</v>
      </c>
      <c r="BF23" s="919">
        <v>4229.7822023816916</v>
      </c>
      <c r="BG23" s="919">
        <v>4229.7822023816916</v>
      </c>
      <c r="BH23" s="919">
        <v>4229.7822023816916</v>
      </c>
      <c r="BI23" s="919">
        <v>4229.7822023816916</v>
      </c>
      <c r="BJ23" s="919">
        <v>4229.7822023816916</v>
      </c>
      <c r="BK23" s="919">
        <v>4229.7822023816916</v>
      </c>
      <c r="BL23" s="919">
        <v>4229.7822023816916</v>
      </c>
      <c r="BM23" s="919">
        <v>4229.7822023816916</v>
      </c>
      <c r="BN23" s="919">
        <v>4229.7822023816916</v>
      </c>
      <c r="BO23" s="940">
        <v>4229.7822023816916</v>
      </c>
      <c r="BP23" s="935">
        <v>50757.386428580299</v>
      </c>
      <c r="BR23" s="322" t="s">
        <v>1184</v>
      </c>
      <c r="BS23" s="323">
        <v>565000</v>
      </c>
      <c r="BT23" s="323">
        <v>-567693.79308085539</v>
      </c>
      <c r="BU23" s="323">
        <v>238634.04820277891</v>
      </c>
      <c r="BV23" s="323">
        <v>436819.16780563351</v>
      </c>
      <c r="BW23" s="323">
        <v>647783.47659815941</v>
      </c>
      <c r="BX23" s="324">
        <v>1256833.7031464372</v>
      </c>
    </row>
    <row r="24" spans="2:83" ht="15" thickBot="1">
      <c r="B24" s="1372" t="s">
        <v>608</v>
      </c>
      <c r="C24" s="1110"/>
      <c r="D24" s="1128">
        <v>3591.0224438902742</v>
      </c>
      <c r="E24" s="1112">
        <v>3591.0224438902742</v>
      </c>
      <c r="F24" s="1112">
        <v>3591.0224438902742</v>
      </c>
      <c r="G24" s="1112">
        <v>3591.0224438902742</v>
      </c>
      <c r="H24" s="1112">
        <v>3591.0224438902742</v>
      </c>
      <c r="I24" s="1112">
        <v>3591.0224438902742</v>
      </c>
      <c r="J24" s="1112">
        <v>3591.0224438902742</v>
      </c>
      <c r="K24" s="1112">
        <v>3591.0224438902742</v>
      </c>
      <c r="L24" s="1112">
        <v>3591.0224438902742</v>
      </c>
      <c r="M24" s="1112">
        <v>3591.0224438902742</v>
      </c>
      <c r="N24" s="1112">
        <v>3591.0224438902742</v>
      </c>
      <c r="O24" s="1129">
        <v>3591.0224438902742</v>
      </c>
      <c r="P24" s="1114">
        <v>43092.269326683287</v>
      </c>
      <c r="Q24" s="1111">
        <v>3670.0249376558604</v>
      </c>
      <c r="R24" s="1112">
        <v>3670.0249376558604</v>
      </c>
      <c r="S24" s="1112">
        <v>3670.0249376558604</v>
      </c>
      <c r="T24" s="1112">
        <v>3670.0249376558604</v>
      </c>
      <c r="U24" s="1112">
        <v>3670.0249376558604</v>
      </c>
      <c r="V24" s="1112">
        <v>3670.0249376558604</v>
      </c>
      <c r="W24" s="1112">
        <v>3670.0249376558604</v>
      </c>
      <c r="X24" s="1112">
        <v>3670.0249376558604</v>
      </c>
      <c r="Y24" s="1112">
        <v>3670.0249376558604</v>
      </c>
      <c r="Z24" s="1112">
        <v>3670.0249376558604</v>
      </c>
      <c r="AA24" s="1112">
        <v>3670.0249376558604</v>
      </c>
      <c r="AB24" s="1113">
        <v>3670.0249376558604</v>
      </c>
      <c r="AC24" s="1114">
        <v>44040.29925187034</v>
      </c>
      <c r="AD24" s="1115">
        <v>3750.7654862842892</v>
      </c>
      <c r="AE24" s="1116">
        <v>3750.7654862842892</v>
      </c>
      <c r="AF24" s="1116">
        <v>3750.7654862842892</v>
      </c>
      <c r="AG24" s="1116">
        <v>3750.7654862842892</v>
      </c>
      <c r="AH24" s="1116">
        <v>3750.7654862842892</v>
      </c>
      <c r="AI24" s="1116">
        <v>3750.7654862842892</v>
      </c>
      <c r="AJ24" s="1116">
        <v>3750.7654862842892</v>
      </c>
      <c r="AK24" s="1116">
        <v>3750.7654862842892</v>
      </c>
      <c r="AL24" s="1116">
        <v>3750.7654862842892</v>
      </c>
      <c r="AM24" s="1116">
        <v>3750.7654862842892</v>
      </c>
      <c r="AN24" s="1116">
        <v>3750.7654862842892</v>
      </c>
      <c r="AO24" s="1117">
        <v>3750.7654862842892</v>
      </c>
      <c r="AP24" s="1114">
        <v>45009.185835411474</v>
      </c>
      <c r="AQ24" s="1111">
        <v>3833.282326982544</v>
      </c>
      <c r="AR24" s="1111">
        <v>3833.282326982544</v>
      </c>
      <c r="AS24" s="1111">
        <v>3833.282326982544</v>
      </c>
      <c r="AT24" s="1111">
        <v>3833.282326982544</v>
      </c>
      <c r="AU24" s="1111">
        <v>3833.282326982544</v>
      </c>
      <c r="AV24" s="1111">
        <v>3833.282326982544</v>
      </c>
      <c r="AW24" s="1111">
        <v>3833.282326982544</v>
      </c>
      <c r="AX24" s="1111">
        <v>3833.282326982544</v>
      </c>
      <c r="AY24" s="1111">
        <v>3833.282326982544</v>
      </c>
      <c r="AZ24" s="1111">
        <v>3833.282326982544</v>
      </c>
      <c r="BA24" s="1111">
        <v>3833.282326982544</v>
      </c>
      <c r="BB24" s="1118">
        <v>3833.282326982544</v>
      </c>
      <c r="BC24" s="1114">
        <v>45999.387923790542</v>
      </c>
      <c r="BD24" s="1111">
        <v>3917.6145381761598</v>
      </c>
      <c r="BE24" s="1111">
        <v>3917.6145381761598</v>
      </c>
      <c r="BF24" s="1111">
        <v>3917.6145381761598</v>
      </c>
      <c r="BG24" s="1111">
        <v>3917.6145381761598</v>
      </c>
      <c r="BH24" s="1111">
        <v>3917.6145381761598</v>
      </c>
      <c r="BI24" s="1111">
        <v>3917.6145381761598</v>
      </c>
      <c r="BJ24" s="1111">
        <v>3917.6145381761598</v>
      </c>
      <c r="BK24" s="1111">
        <v>3917.6145381761598</v>
      </c>
      <c r="BL24" s="1111">
        <v>3917.6145381761598</v>
      </c>
      <c r="BM24" s="1111">
        <v>3917.6145381761598</v>
      </c>
      <c r="BN24" s="1111">
        <v>3917.6145381761598</v>
      </c>
      <c r="BO24" s="1118">
        <v>3917.6145381761598</v>
      </c>
      <c r="BP24" s="1114">
        <v>47011.374458113918</v>
      </c>
      <c r="BR24" s="153"/>
      <c r="BX24" s="135"/>
    </row>
    <row r="25" spans="2:83" ht="15" thickBot="1">
      <c r="B25" s="1727" t="s">
        <v>1155</v>
      </c>
      <c r="C25" s="313" t="s">
        <v>1030</v>
      </c>
      <c r="D25" s="958">
        <v>453.11521197007482</v>
      </c>
      <c r="E25" s="938">
        <v>453.11521197007482</v>
      </c>
      <c r="F25" s="938">
        <v>453.11521197007482</v>
      </c>
      <c r="G25" s="938">
        <v>453.11521197007482</v>
      </c>
      <c r="H25" s="938">
        <v>453.11521197007482</v>
      </c>
      <c r="I25" s="938">
        <v>453.11521197007482</v>
      </c>
      <c r="J25" s="938">
        <v>453.11521197007482</v>
      </c>
      <c r="K25" s="938">
        <v>453.11521197007482</v>
      </c>
      <c r="L25" s="938">
        <v>453.11521197007482</v>
      </c>
      <c r="M25" s="938">
        <v>453.11521197007482</v>
      </c>
      <c r="N25" s="938">
        <v>453.11521197007482</v>
      </c>
      <c r="O25" s="1126">
        <v>453.11521197007482</v>
      </c>
      <c r="P25" s="932">
        <v>5437.3825436408961</v>
      </c>
      <c r="Q25" s="931">
        <v>463.08374663341647</v>
      </c>
      <c r="R25" s="938">
        <v>463.08374663341647</v>
      </c>
      <c r="S25" s="938">
        <v>463.08374663341647</v>
      </c>
      <c r="T25" s="938">
        <v>463.08374663341647</v>
      </c>
      <c r="U25" s="938">
        <v>463.08374663341647</v>
      </c>
      <c r="V25" s="938">
        <v>463.08374663341647</v>
      </c>
      <c r="W25" s="938">
        <v>463.08374663341647</v>
      </c>
      <c r="X25" s="938">
        <v>463.08374663341647</v>
      </c>
      <c r="Y25" s="938">
        <v>463.08374663341647</v>
      </c>
      <c r="Z25" s="938">
        <v>463.08374663341647</v>
      </c>
      <c r="AA25" s="938">
        <v>463.08374663341647</v>
      </c>
      <c r="AB25" s="939">
        <v>463.08374663341647</v>
      </c>
      <c r="AC25" s="932">
        <v>5557.0049596009958</v>
      </c>
      <c r="AD25" s="933">
        <v>0</v>
      </c>
      <c r="AE25" s="969">
        <v>0</v>
      </c>
      <c r="AF25" s="969">
        <v>0</v>
      </c>
      <c r="AG25" s="969">
        <v>0</v>
      </c>
      <c r="AH25" s="969">
        <v>0</v>
      </c>
      <c r="AI25" s="969">
        <v>0</v>
      </c>
      <c r="AJ25" s="969">
        <v>0</v>
      </c>
      <c r="AK25" s="969">
        <v>0</v>
      </c>
      <c r="AL25" s="969">
        <v>0</v>
      </c>
      <c r="AM25" s="969">
        <v>0</v>
      </c>
      <c r="AN25" s="969">
        <v>0</v>
      </c>
      <c r="AO25" s="974">
        <v>0</v>
      </c>
      <c r="AP25" s="932">
        <v>0</v>
      </c>
      <c r="AQ25" s="931">
        <v>0</v>
      </c>
      <c r="AR25" s="938">
        <v>0</v>
      </c>
      <c r="AS25" s="938">
        <v>0</v>
      </c>
      <c r="AT25" s="938">
        <v>0</v>
      </c>
      <c r="AU25" s="938">
        <v>0</v>
      </c>
      <c r="AV25" s="938">
        <v>0</v>
      </c>
      <c r="AW25" s="938">
        <v>0</v>
      </c>
      <c r="AX25" s="938">
        <v>0</v>
      </c>
      <c r="AY25" s="938">
        <v>0</v>
      </c>
      <c r="AZ25" s="938">
        <v>0</v>
      </c>
      <c r="BA25" s="938">
        <v>0</v>
      </c>
      <c r="BB25" s="939">
        <v>0</v>
      </c>
      <c r="BC25" s="932">
        <v>0</v>
      </c>
      <c r="BD25" s="931">
        <v>0</v>
      </c>
      <c r="BE25" s="938">
        <v>0</v>
      </c>
      <c r="BF25" s="938">
        <v>0</v>
      </c>
      <c r="BG25" s="938">
        <v>0</v>
      </c>
      <c r="BH25" s="938">
        <v>0</v>
      </c>
      <c r="BI25" s="938">
        <v>0</v>
      </c>
      <c r="BJ25" s="938">
        <v>0</v>
      </c>
      <c r="BK25" s="938">
        <v>0</v>
      </c>
      <c r="BL25" s="938">
        <v>0</v>
      </c>
      <c r="BM25" s="938">
        <v>0</v>
      </c>
      <c r="BN25" s="938">
        <v>0</v>
      </c>
      <c r="BO25" s="939">
        <v>0</v>
      </c>
      <c r="BP25" s="932">
        <v>0</v>
      </c>
      <c r="BR25" s="322" t="s">
        <v>1185</v>
      </c>
      <c r="BS25" s="323">
        <v>565000</v>
      </c>
      <c r="BT25" s="323">
        <v>-2693.7930808553938</v>
      </c>
      <c r="BU25" s="323">
        <v>235940.25512192352</v>
      </c>
      <c r="BV25" s="323">
        <v>672759.42292755703</v>
      </c>
      <c r="BW25" s="323">
        <v>1320542.8995257164</v>
      </c>
      <c r="BX25" s="324">
        <v>2577376.6026721536</v>
      </c>
    </row>
    <row r="26" spans="2:83">
      <c r="B26" s="1728"/>
      <c r="C26" s="274" t="s">
        <v>1031</v>
      </c>
      <c r="D26" s="961">
        <v>754.88279301745638</v>
      </c>
      <c r="E26" s="929">
        <v>754.88279301745638</v>
      </c>
      <c r="F26" s="929">
        <v>754.88279301745638</v>
      </c>
      <c r="G26" s="929">
        <v>754.88279301745638</v>
      </c>
      <c r="H26" s="929">
        <v>754.88279301745638</v>
      </c>
      <c r="I26" s="929">
        <v>754.88279301745638</v>
      </c>
      <c r="J26" s="929">
        <v>754.88279301745638</v>
      </c>
      <c r="K26" s="929">
        <v>754.88279301745638</v>
      </c>
      <c r="L26" s="929">
        <v>754.88279301745638</v>
      </c>
      <c r="M26" s="929">
        <v>754.88279301745638</v>
      </c>
      <c r="N26" s="929">
        <v>754.88279301745638</v>
      </c>
      <c r="O26" s="1127">
        <v>754.88279301745638</v>
      </c>
      <c r="P26" s="943">
        <v>9058.5935162094775</v>
      </c>
      <c r="Q26" s="941">
        <v>771.49021446384052</v>
      </c>
      <c r="R26" s="929">
        <v>771.49021446384052</v>
      </c>
      <c r="S26" s="929">
        <v>771.49021446384052</v>
      </c>
      <c r="T26" s="929">
        <v>771.49021446384052</v>
      </c>
      <c r="U26" s="929">
        <v>771.49021446384052</v>
      </c>
      <c r="V26" s="929">
        <v>771.49021446384052</v>
      </c>
      <c r="W26" s="929">
        <v>771.49021446384052</v>
      </c>
      <c r="X26" s="929">
        <v>771.49021446384052</v>
      </c>
      <c r="Y26" s="929">
        <v>771.49021446384052</v>
      </c>
      <c r="Z26" s="929">
        <v>771.49021446384052</v>
      </c>
      <c r="AA26" s="929">
        <v>771.49021446384052</v>
      </c>
      <c r="AB26" s="942">
        <v>771.49021446384052</v>
      </c>
      <c r="AC26" s="943">
        <v>9257.8825735660866</v>
      </c>
      <c r="AD26" s="921">
        <v>0</v>
      </c>
      <c r="AE26" s="968">
        <v>0</v>
      </c>
      <c r="AF26" s="968">
        <v>0</v>
      </c>
      <c r="AG26" s="968">
        <v>0</v>
      </c>
      <c r="AH26" s="968">
        <v>0</v>
      </c>
      <c r="AI26" s="968">
        <v>0</v>
      </c>
      <c r="AJ26" s="968">
        <v>0</v>
      </c>
      <c r="AK26" s="968">
        <v>0</v>
      </c>
      <c r="AL26" s="968">
        <v>0</v>
      </c>
      <c r="AM26" s="968">
        <v>0</v>
      </c>
      <c r="AN26" s="968">
        <v>0</v>
      </c>
      <c r="AO26" s="975">
        <v>0</v>
      </c>
      <c r="AP26" s="943">
        <v>0</v>
      </c>
      <c r="AQ26" s="941">
        <v>0</v>
      </c>
      <c r="AR26" s="929">
        <v>0</v>
      </c>
      <c r="AS26" s="929">
        <v>0</v>
      </c>
      <c r="AT26" s="929">
        <v>0</v>
      </c>
      <c r="AU26" s="929">
        <v>0</v>
      </c>
      <c r="AV26" s="929">
        <v>0</v>
      </c>
      <c r="AW26" s="929">
        <v>0</v>
      </c>
      <c r="AX26" s="929">
        <v>0</v>
      </c>
      <c r="AY26" s="929">
        <v>0</v>
      </c>
      <c r="AZ26" s="929">
        <v>0</v>
      </c>
      <c r="BA26" s="929">
        <v>0</v>
      </c>
      <c r="BB26" s="942">
        <v>0</v>
      </c>
      <c r="BC26" s="943">
        <v>0</v>
      </c>
      <c r="BD26" s="941">
        <v>0</v>
      </c>
      <c r="BE26" s="929">
        <v>0</v>
      </c>
      <c r="BF26" s="929">
        <v>0</v>
      </c>
      <c r="BG26" s="929">
        <v>0</v>
      </c>
      <c r="BH26" s="929">
        <v>0</v>
      </c>
      <c r="BI26" s="929">
        <v>0</v>
      </c>
      <c r="BJ26" s="929">
        <v>0</v>
      </c>
      <c r="BK26" s="929">
        <v>0</v>
      </c>
      <c r="BL26" s="929">
        <v>0</v>
      </c>
      <c r="BM26" s="929">
        <v>0</v>
      </c>
      <c r="BN26" s="929">
        <v>0</v>
      </c>
      <c r="BO26" s="942">
        <v>0</v>
      </c>
      <c r="BP26" s="943">
        <v>0</v>
      </c>
    </row>
    <row r="27" spans="2:83">
      <c r="B27" s="1728"/>
      <c r="C27" s="274" t="s">
        <v>1156</v>
      </c>
      <c r="D27" s="961">
        <v>263.9920199501247</v>
      </c>
      <c r="E27" s="929">
        <v>263.9920199501247</v>
      </c>
      <c r="F27" s="929">
        <v>263.9920199501247</v>
      </c>
      <c r="G27" s="929">
        <v>263.9920199501247</v>
      </c>
      <c r="H27" s="929">
        <v>263.9920199501247</v>
      </c>
      <c r="I27" s="929">
        <v>263.9920199501247</v>
      </c>
      <c r="J27" s="929">
        <v>263.9920199501247</v>
      </c>
      <c r="K27" s="929">
        <v>263.9920199501247</v>
      </c>
      <c r="L27" s="929">
        <v>263.9920199501247</v>
      </c>
      <c r="M27" s="929">
        <v>263.9920199501247</v>
      </c>
      <c r="N27" s="929">
        <v>263.9920199501247</v>
      </c>
      <c r="O27" s="1127">
        <v>263.9920199501247</v>
      </c>
      <c r="P27" s="943">
        <v>3167.9042394014973</v>
      </c>
      <c r="Q27" s="941">
        <v>316.44993915211973</v>
      </c>
      <c r="R27" s="929">
        <v>316.44993915211973</v>
      </c>
      <c r="S27" s="929">
        <v>316.44993915211973</v>
      </c>
      <c r="T27" s="929">
        <v>316.44993915211973</v>
      </c>
      <c r="U27" s="929">
        <v>316.44993915211973</v>
      </c>
      <c r="V27" s="929">
        <v>316.44993915211973</v>
      </c>
      <c r="W27" s="929">
        <v>316.44993915211973</v>
      </c>
      <c r="X27" s="929">
        <v>316.44993915211973</v>
      </c>
      <c r="Y27" s="929">
        <v>316.44993915211973</v>
      </c>
      <c r="Z27" s="929">
        <v>316.44993915211973</v>
      </c>
      <c r="AA27" s="929">
        <v>316.44993915211973</v>
      </c>
      <c r="AB27" s="942">
        <v>316.44993915211973</v>
      </c>
      <c r="AC27" s="943">
        <v>3797.3992698254374</v>
      </c>
      <c r="AD27" s="921">
        <v>442.60282993316707</v>
      </c>
      <c r="AE27" s="968">
        <v>442.60282993316707</v>
      </c>
      <c r="AF27" s="968">
        <v>442.60282993316707</v>
      </c>
      <c r="AG27" s="968">
        <v>442.60282993316707</v>
      </c>
      <c r="AH27" s="968">
        <v>442.60282993316707</v>
      </c>
      <c r="AI27" s="968">
        <v>442.60282993316707</v>
      </c>
      <c r="AJ27" s="968">
        <v>442.60282993316707</v>
      </c>
      <c r="AK27" s="968">
        <v>442.60282993316707</v>
      </c>
      <c r="AL27" s="968">
        <v>442.60282993316707</v>
      </c>
      <c r="AM27" s="968">
        <v>442.60282993316707</v>
      </c>
      <c r="AN27" s="968">
        <v>442.60282993316707</v>
      </c>
      <c r="AO27" s="975">
        <v>442.60282993316707</v>
      </c>
      <c r="AP27" s="943">
        <v>5311.2339591980053</v>
      </c>
      <c r="AQ27" s="941">
        <v>452.34009219169678</v>
      </c>
      <c r="AR27" s="929">
        <v>452.34009219169678</v>
      </c>
      <c r="AS27" s="929">
        <v>452.34009219169678</v>
      </c>
      <c r="AT27" s="929">
        <v>452.34009219169678</v>
      </c>
      <c r="AU27" s="929">
        <v>452.34009219169678</v>
      </c>
      <c r="AV27" s="929">
        <v>452.34009219169678</v>
      </c>
      <c r="AW27" s="929">
        <v>452.34009219169678</v>
      </c>
      <c r="AX27" s="929">
        <v>452.34009219169678</v>
      </c>
      <c r="AY27" s="929">
        <v>452.34009219169678</v>
      </c>
      <c r="AZ27" s="929">
        <v>452.34009219169678</v>
      </c>
      <c r="BA27" s="929">
        <v>452.34009219169678</v>
      </c>
      <c r="BB27" s="942">
        <v>452.34009219169678</v>
      </c>
      <c r="BC27" s="943">
        <v>5428.0811063003603</v>
      </c>
      <c r="BD27" s="941">
        <v>574.33535001175221</v>
      </c>
      <c r="BE27" s="929">
        <v>574.33535001175221</v>
      </c>
      <c r="BF27" s="929">
        <v>574.33535001175221</v>
      </c>
      <c r="BG27" s="929">
        <v>574.33535001175221</v>
      </c>
      <c r="BH27" s="929">
        <v>574.33535001175221</v>
      </c>
      <c r="BI27" s="929">
        <v>574.33535001175221</v>
      </c>
      <c r="BJ27" s="929">
        <v>574.33535001175221</v>
      </c>
      <c r="BK27" s="929">
        <v>574.33535001175221</v>
      </c>
      <c r="BL27" s="929">
        <v>574.33535001175221</v>
      </c>
      <c r="BM27" s="929">
        <v>574.33535001175221</v>
      </c>
      <c r="BN27" s="929">
        <v>574.33535001175221</v>
      </c>
      <c r="BO27" s="942">
        <v>574.33535001175221</v>
      </c>
      <c r="BP27" s="943">
        <v>6892.0242001410252</v>
      </c>
    </row>
    <row r="28" spans="2:83">
      <c r="B28" s="1728"/>
      <c r="C28" s="274" t="s">
        <v>966</v>
      </c>
      <c r="D28" s="961">
        <v>5.4269326683291759</v>
      </c>
      <c r="E28" s="929">
        <v>5.4269326683291759</v>
      </c>
      <c r="F28" s="929">
        <v>5.4269326683291759</v>
      </c>
      <c r="G28" s="929">
        <v>5.4269326683291759</v>
      </c>
      <c r="H28" s="929">
        <v>5.4269326683291759</v>
      </c>
      <c r="I28" s="929">
        <v>5.4269326683291759</v>
      </c>
      <c r="J28" s="929">
        <v>5.4269326683291759</v>
      </c>
      <c r="K28" s="929">
        <v>5.4269326683291759</v>
      </c>
      <c r="L28" s="929">
        <v>5.4269326683291759</v>
      </c>
      <c r="M28" s="929">
        <v>5.4269326683291759</v>
      </c>
      <c r="N28" s="929">
        <v>5.4269326683291759</v>
      </c>
      <c r="O28" s="1127">
        <v>5.4269326683291759</v>
      </c>
      <c r="P28" s="943">
        <v>65.123192019950096</v>
      </c>
      <c r="Q28" s="941">
        <v>10.03884858852868</v>
      </c>
      <c r="R28" s="929">
        <v>10.03884858852868</v>
      </c>
      <c r="S28" s="929">
        <v>10.03884858852868</v>
      </c>
      <c r="T28" s="929">
        <v>10.03884858852868</v>
      </c>
      <c r="U28" s="929">
        <v>10.03884858852868</v>
      </c>
      <c r="V28" s="929">
        <v>10.03884858852868</v>
      </c>
      <c r="W28" s="929">
        <v>10.03884858852868</v>
      </c>
      <c r="X28" s="929">
        <v>10.03884858852868</v>
      </c>
      <c r="Y28" s="929">
        <v>10.03884858852868</v>
      </c>
      <c r="Z28" s="929">
        <v>10.03884858852868</v>
      </c>
      <c r="AA28" s="929">
        <v>10.03884858852868</v>
      </c>
      <c r="AB28" s="942">
        <v>10.03884858852868</v>
      </c>
      <c r="AC28" s="943">
        <v>120.46618306234416</v>
      </c>
      <c r="AD28" s="921">
        <v>17.288450240498751</v>
      </c>
      <c r="AE28" s="968">
        <v>17.288450240498751</v>
      </c>
      <c r="AF28" s="968">
        <v>17.288450240498751</v>
      </c>
      <c r="AG28" s="968">
        <v>17.288450240498751</v>
      </c>
      <c r="AH28" s="968">
        <v>17.288450240498751</v>
      </c>
      <c r="AI28" s="968">
        <v>17.288450240498751</v>
      </c>
      <c r="AJ28" s="968">
        <v>17.288450240498751</v>
      </c>
      <c r="AK28" s="968">
        <v>17.288450240498751</v>
      </c>
      <c r="AL28" s="968">
        <v>17.288450240498751</v>
      </c>
      <c r="AM28" s="968">
        <v>17.288450240498751</v>
      </c>
      <c r="AN28" s="968">
        <v>17.288450240498751</v>
      </c>
      <c r="AO28" s="975">
        <v>17.288450240498751</v>
      </c>
      <c r="AP28" s="943">
        <v>207.461402885985</v>
      </c>
      <c r="AQ28" s="941">
        <v>26.6480204166009</v>
      </c>
      <c r="AR28" s="929">
        <v>26.6480204166009</v>
      </c>
      <c r="AS28" s="929">
        <v>26.6480204166009</v>
      </c>
      <c r="AT28" s="929">
        <v>26.6480204166009</v>
      </c>
      <c r="AU28" s="929">
        <v>26.6480204166009</v>
      </c>
      <c r="AV28" s="929">
        <v>26.6480204166009</v>
      </c>
      <c r="AW28" s="929">
        <v>26.6480204166009</v>
      </c>
      <c r="AX28" s="929">
        <v>26.6480204166009</v>
      </c>
      <c r="AY28" s="929">
        <v>26.6480204166009</v>
      </c>
      <c r="AZ28" s="929">
        <v>26.6480204166009</v>
      </c>
      <c r="BA28" s="929">
        <v>26.6480204166009</v>
      </c>
      <c r="BB28" s="942">
        <v>26.6480204166009</v>
      </c>
      <c r="BC28" s="943">
        <v>319.7762449992108</v>
      </c>
      <c r="BD28" s="941">
        <v>45.587811275304155</v>
      </c>
      <c r="BE28" s="929">
        <v>45.587811275304155</v>
      </c>
      <c r="BF28" s="929">
        <v>45.587811275304155</v>
      </c>
      <c r="BG28" s="929">
        <v>45.587811275304155</v>
      </c>
      <c r="BH28" s="929">
        <v>45.587811275304155</v>
      </c>
      <c r="BI28" s="929">
        <v>45.587811275304155</v>
      </c>
      <c r="BJ28" s="929">
        <v>45.587811275304155</v>
      </c>
      <c r="BK28" s="929">
        <v>45.587811275304155</v>
      </c>
      <c r="BL28" s="929">
        <v>45.587811275304155</v>
      </c>
      <c r="BM28" s="929">
        <v>45.587811275304155</v>
      </c>
      <c r="BN28" s="929">
        <v>45.587811275304155</v>
      </c>
      <c r="BO28" s="942">
        <v>45.587811275304155</v>
      </c>
      <c r="BP28" s="943">
        <v>547.05373530364989</v>
      </c>
    </row>
    <row r="29" spans="2:83">
      <c r="B29" s="1728"/>
      <c r="C29" s="274" t="s">
        <v>1157</v>
      </c>
      <c r="D29" s="961">
        <v>54.862842892768079</v>
      </c>
      <c r="E29" s="929">
        <v>54.862842892768079</v>
      </c>
      <c r="F29" s="929">
        <v>54.862842892768079</v>
      </c>
      <c r="G29" s="929">
        <v>54.862842892768079</v>
      </c>
      <c r="H29" s="929">
        <v>54.862842892768079</v>
      </c>
      <c r="I29" s="929">
        <v>54.862842892768079</v>
      </c>
      <c r="J29" s="929">
        <v>54.862842892768079</v>
      </c>
      <c r="K29" s="929">
        <v>54.862842892768079</v>
      </c>
      <c r="L29" s="929">
        <v>54.862842892768079</v>
      </c>
      <c r="M29" s="929">
        <v>54.862842892768079</v>
      </c>
      <c r="N29" s="929">
        <v>54.862842892768079</v>
      </c>
      <c r="O29" s="1127">
        <v>54.862842892768079</v>
      </c>
      <c r="P29" s="943">
        <v>658.35411471321697</v>
      </c>
      <c r="Q29" s="941">
        <v>56.069825436408976</v>
      </c>
      <c r="R29" s="929">
        <v>56.069825436408976</v>
      </c>
      <c r="S29" s="929">
        <v>56.069825436408976</v>
      </c>
      <c r="T29" s="929">
        <v>56.069825436408976</v>
      </c>
      <c r="U29" s="929">
        <v>56.069825436408976</v>
      </c>
      <c r="V29" s="929">
        <v>56.069825436408976</v>
      </c>
      <c r="W29" s="929">
        <v>56.069825436408976</v>
      </c>
      <c r="X29" s="929">
        <v>56.069825436408976</v>
      </c>
      <c r="Y29" s="929">
        <v>56.069825436408976</v>
      </c>
      <c r="Z29" s="929">
        <v>56.069825436408976</v>
      </c>
      <c r="AA29" s="929">
        <v>56.069825436408976</v>
      </c>
      <c r="AB29" s="942">
        <v>56.069825436408976</v>
      </c>
      <c r="AC29" s="943">
        <v>672.83790523690777</v>
      </c>
      <c r="AD29" s="921">
        <v>57.303361596009978</v>
      </c>
      <c r="AE29" s="968">
        <v>57.303361596009978</v>
      </c>
      <c r="AF29" s="968">
        <v>57.303361596009978</v>
      </c>
      <c r="AG29" s="968">
        <v>57.303361596009978</v>
      </c>
      <c r="AH29" s="968">
        <v>57.303361596009978</v>
      </c>
      <c r="AI29" s="968">
        <v>57.303361596009978</v>
      </c>
      <c r="AJ29" s="968">
        <v>57.303361596009978</v>
      </c>
      <c r="AK29" s="968">
        <v>57.303361596009978</v>
      </c>
      <c r="AL29" s="968">
        <v>57.303361596009978</v>
      </c>
      <c r="AM29" s="968">
        <v>57.303361596009978</v>
      </c>
      <c r="AN29" s="968">
        <v>57.303361596009978</v>
      </c>
      <c r="AO29" s="975">
        <v>57.303361596009978</v>
      </c>
      <c r="AP29" s="943">
        <v>687.64033915211951</v>
      </c>
      <c r="AQ29" s="941">
        <v>58.564035551122203</v>
      </c>
      <c r="AR29" s="929">
        <v>58.564035551122203</v>
      </c>
      <c r="AS29" s="929">
        <v>58.564035551122203</v>
      </c>
      <c r="AT29" s="929">
        <v>58.564035551122203</v>
      </c>
      <c r="AU29" s="929">
        <v>58.564035551122203</v>
      </c>
      <c r="AV29" s="929">
        <v>58.564035551122203</v>
      </c>
      <c r="AW29" s="929">
        <v>58.564035551122203</v>
      </c>
      <c r="AX29" s="929">
        <v>58.564035551122203</v>
      </c>
      <c r="AY29" s="929">
        <v>58.564035551122203</v>
      </c>
      <c r="AZ29" s="929">
        <v>58.564035551122203</v>
      </c>
      <c r="BA29" s="929">
        <v>58.564035551122203</v>
      </c>
      <c r="BB29" s="942">
        <v>58.564035551122203</v>
      </c>
      <c r="BC29" s="943">
        <v>702.7684266134662</v>
      </c>
      <c r="BD29" s="941">
        <v>59.852444333246893</v>
      </c>
      <c r="BE29" s="929">
        <v>59.852444333246893</v>
      </c>
      <c r="BF29" s="929">
        <v>59.852444333246893</v>
      </c>
      <c r="BG29" s="929">
        <v>59.852444333246893</v>
      </c>
      <c r="BH29" s="929">
        <v>59.852444333246893</v>
      </c>
      <c r="BI29" s="929">
        <v>59.852444333246893</v>
      </c>
      <c r="BJ29" s="929">
        <v>59.852444333246893</v>
      </c>
      <c r="BK29" s="929">
        <v>59.852444333246893</v>
      </c>
      <c r="BL29" s="929">
        <v>59.852444333246893</v>
      </c>
      <c r="BM29" s="929">
        <v>59.852444333246893</v>
      </c>
      <c r="BN29" s="929">
        <v>59.852444333246893</v>
      </c>
      <c r="BO29" s="942">
        <v>59.852444333246893</v>
      </c>
      <c r="BP29" s="943">
        <v>718.22933199896295</v>
      </c>
    </row>
    <row r="30" spans="2:83" ht="15" thickBot="1">
      <c r="B30" s="1729"/>
      <c r="C30" s="462" t="s">
        <v>1158</v>
      </c>
      <c r="D30" s="965">
        <v>200</v>
      </c>
      <c r="E30" s="947">
        <v>200</v>
      </c>
      <c r="F30" s="947">
        <v>200</v>
      </c>
      <c r="G30" s="947">
        <v>200</v>
      </c>
      <c r="H30" s="947">
        <v>200</v>
      </c>
      <c r="I30" s="947">
        <v>200</v>
      </c>
      <c r="J30" s="947">
        <v>200</v>
      </c>
      <c r="K30" s="947">
        <v>200</v>
      </c>
      <c r="L30" s="947">
        <v>200</v>
      </c>
      <c r="M30" s="947">
        <v>200</v>
      </c>
      <c r="N30" s="947">
        <v>200</v>
      </c>
      <c r="O30" s="1130">
        <v>200</v>
      </c>
      <c r="P30" s="920">
        <v>2400</v>
      </c>
      <c r="Q30" s="946">
        <v>300</v>
      </c>
      <c r="R30" s="947">
        <v>300</v>
      </c>
      <c r="S30" s="947">
        <v>300</v>
      </c>
      <c r="T30" s="947">
        <v>300</v>
      </c>
      <c r="U30" s="947">
        <v>300</v>
      </c>
      <c r="V30" s="947">
        <v>300</v>
      </c>
      <c r="W30" s="947">
        <v>300</v>
      </c>
      <c r="X30" s="947">
        <v>300</v>
      </c>
      <c r="Y30" s="947">
        <v>300</v>
      </c>
      <c r="Z30" s="947">
        <v>300</v>
      </c>
      <c r="AA30" s="947">
        <v>300</v>
      </c>
      <c r="AB30" s="948">
        <v>300</v>
      </c>
      <c r="AC30" s="920">
        <v>3600</v>
      </c>
      <c r="AD30" s="950">
        <v>450</v>
      </c>
      <c r="AE30" s="1262">
        <v>450</v>
      </c>
      <c r="AF30" s="1262">
        <v>450</v>
      </c>
      <c r="AG30" s="1262">
        <v>450</v>
      </c>
      <c r="AH30" s="1262">
        <v>450</v>
      </c>
      <c r="AI30" s="1262">
        <v>450</v>
      </c>
      <c r="AJ30" s="1262">
        <v>450</v>
      </c>
      <c r="AK30" s="1262">
        <v>450</v>
      </c>
      <c r="AL30" s="1262">
        <v>450</v>
      </c>
      <c r="AM30" s="1262">
        <v>450</v>
      </c>
      <c r="AN30" s="1262">
        <v>450</v>
      </c>
      <c r="AO30" s="1263">
        <v>450</v>
      </c>
      <c r="AP30" s="920">
        <v>5400</v>
      </c>
      <c r="AQ30" s="946">
        <v>459.90000000000003</v>
      </c>
      <c r="AR30" s="947">
        <v>459.90000000000003</v>
      </c>
      <c r="AS30" s="947">
        <v>459.90000000000003</v>
      </c>
      <c r="AT30" s="947">
        <v>459.90000000000003</v>
      </c>
      <c r="AU30" s="947">
        <v>459.90000000000003</v>
      </c>
      <c r="AV30" s="947">
        <v>459.90000000000003</v>
      </c>
      <c r="AW30" s="947">
        <v>459.90000000000003</v>
      </c>
      <c r="AX30" s="947">
        <v>459.90000000000003</v>
      </c>
      <c r="AY30" s="947">
        <v>459.90000000000003</v>
      </c>
      <c r="AZ30" s="947">
        <v>459.90000000000003</v>
      </c>
      <c r="BA30" s="947">
        <v>459.90000000000003</v>
      </c>
      <c r="BB30" s="948">
        <v>459.90000000000003</v>
      </c>
      <c r="BC30" s="920">
        <v>5518.7999999999993</v>
      </c>
      <c r="BD30" s="946">
        <v>551.88</v>
      </c>
      <c r="BE30" s="947">
        <v>551.88</v>
      </c>
      <c r="BF30" s="947">
        <v>551.88</v>
      </c>
      <c r="BG30" s="947">
        <v>551.88</v>
      </c>
      <c r="BH30" s="947">
        <v>551.88</v>
      </c>
      <c r="BI30" s="947">
        <v>551.88</v>
      </c>
      <c r="BJ30" s="947">
        <v>551.88</v>
      </c>
      <c r="BK30" s="947">
        <v>551.88</v>
      </c>
      <c r="BL30" s="947">
        <v>551.88</v>
      </c>
      <c r="BM30" s="947">
        <v>551.88</v>
      </c>
      <c r="BN30" s="947">
        <v>551.88</v>
      </c>
      <c r="BO30" s="948">
        <v>551.88</v>
      </c>
      <c r="BP30" s="920">
        <v>6622.56</v>
      </c>
    </row>
    <row r="31" spans="2:83">
      <c r="B31" s="1738" t="s">
        <v>1159</v>
      </c>
      <c r="C31" s="313" t="s">
        <v>1036</v>
      </c>
      <c r="D31" s="931">
        <v>50</v>
      </c>
      <c r="E31" s="938">
        <v>50</v>
      </c>
      <c r="F31" s="938">
        <v>50</v>
      </c>
      <c r="G31" s="938">
        <v>50</v>
      </c>
      <c r="H31" s="938">
        <v>50</v>
      </c>
      <c r="I31" s="938">
        <v>50</v>
      </c>
      <c r="J31" s="938">
        <v>50</v>
      </c>
      <c r="K31" s="938">
        <v>50</v>
      </c>
      <c r="L31" s="938">
        <v>50</v>
      </c>
      <c r="M31" s="938">
        <v>50</v>
      </c>
      <c r="N31" s="938">
        <v>50</v>
      </c>
      <c r="O31" s="939">
        <v>50</v>
      </c>
      <c r="P31" s="932">
        <v>600</v>
      </c>
      <c r="Q31" s="931">
        <v>60</v>
      </c>
      <c r="R31" s="938">
        <v>60</v>
      </c>
      <c r="S31" s="938">
        <v>60</v>
      </c>
      <c r="T31" s="938">
        <v>60</v>
      </c>
      <c r="U31" s="938">
        <v>60</v>
      </c>
      <c r="V31" s="938">
        <v>60</v>
      </c>
      <c r="W31" s="938">
        <v>60</v>
      </c>
      <c r="X31" s="938">
        <v>60</v>
      </c>
      <c r="Y31" s="938">
        <v>60</v>
      </c>
      <c r="Z31" s="938">
        <v>60</v>
      </c>
      <c r="AA31" s="938">
        <v>60</v>
      </c>
      <c r="AB31" s="939">
        <v>60</v>
      </c>
      <c r="AC31" s="932">
        <v>720</v>
      </c>
      <c r="AD31" s="933">
        <v>84</v>
      </c>
      <c r="AE31" s="969">
        <v>84</v>
      </c>
      <c r="AF31" s="969">
        <v>84</v>
      </c>
      <c r="AG31" s="969">
        <v>84</v>
      </c>
      <c r="AH31" s="969">
        <v>84</v>
      </c>
      <c r="AI31" s="969">
        <v>84</v>
      </c>
      <c r="AJ31" s="969">
        <v>84</v>
      </c>
      <c r="AK31" s="969">
        <v>84</v>
      </c>
      <c r="AL31" s="969">
        <v>84</v>
      </c>
      <c r="AM31" s="969">
        <v>84</v>
      </c>
      <c r="AN31" s="969">
        <v>84</v>
      </c>
      <c r="AO31" s="974">
        <v>84</v>
      </c>
      <c r="AP31" s="932">
        <v>1008</v>
      </c>
      <c r="AQ31" s="931">
        <v>92</v>
      </c>
      <c r="AR31" s="938">
        <v>92</v>
      </c>
      <c r="AS31" s="938">
        <v>92</v>
      </c>
      <c r="AT31" s="938">
        <v>92</v>
      </c>
      <c r="AU31" s="938">
        <v>92</v>
      </c>
      <c r="AV31" s="938">
        <v>92</v>
      </c>
      <c r="AW31" s="938">
        <v>92</v>
      </c>
      <c r="AX31" s="938">
        <v>92</v>
      </c>
      <c r="AY31" s="938">
        <v>92</v>
      </c>
      <c r="AZ31" s="938">
        <v>92</v>
      </c>
      <c r="BA31" s="938">
        <v>92</v>
      </c>
      <c r="BB31" s="939">
        <v>92</v>
      </c>
      <c r="BC31" s="932">
        <v>1104</v>
      </c>
      <c r="BD31" s="931">
        <v>104</v>
      </c>
      <c r="BE31" s="938">
        <v>104</v>
      </c>
      <c r="BF31" s="938">
        <v>104</v>
      </c>
      <c r="BG31" s="938">
        <v>104</v>
      </c>
      <c r="BH31" s="938">
        <v>104</v>
      </c>
      <c r="BI31" s="938">
        <v>104</v>
      </c>
      <c r="BJ31" s="938">
        <v>104</v>
      </c>
      <c r="BK31" s="938">
        <v>104</v>
      </c>
      <c r="BL31" s="938">
        <v>104</v>
      </c>
      <c r="BM31" s="938">
        <v>104</v>
      </c>
      <c r="BN31" s="938">
        <v>104</v>
      </c>
      <c r="BO31" s="939">
        <v>104</v>
      </c>
      <c r="BP31" s="932">
        <v>1248</v>
      </c>
    </row>
    <row r="32" spans="2:83">
      <c r="B32" s="1738"/>
      <c r="C32" s="274" t="s">
        <v>218</v>
      </c>
      <c r="D32" s="941">
        <v>847.88029925187038</v>
      </c>
      <c r="E32" s="929">
        <v>847.88029925187038</v>
      </c>
      <c r="F32" s="929">
        <v>847.88029925187038</v>
      </c>
      <c r="G32" s="929">
        <v>847.88029925187038</v>
      </c>
      <c r="H32" s="929">
        <v>847.88029925187038</v>
      </c>
      <c r="I32" s="929">
        <v>847.88029925187038</v>
      </c>
      <c r="J32" s="929">
        <v>847.88029925187038</v>
      </c>
      <c r="K32" s="929">
        <v>847.88029925187038</v>
      </c>
      <c r="L32" s="929">
        <v>847.88029925187038</v>
      </c>
      <c r="M32" s="929">
        <v>847.88029925187038</v>
      </c>
      <c r="N32" s="929">
        <v>847.88029925187038</v>
      </c>
      <c r="O32" s="942">
        <v>847.88029925187038</v>
      </c>
      <c r="P32" s="943">
        <v>10174.563591022445</v>
      </c>
      <c r="Q32" s="941">
        <v>1386.4538653366583</v>
      </c>
      <c r="R32" s="929">
        <v>1386.4538653366583</v>
      </c>
      <c r="S32" s="929">
        <v>1386.4538653366583</v>
      </c>
      <c r="T32" s="929">
        <v>1386.4538653366583</v>
      </c>
      <c r="U32" s="929">
        <v>1386.4538653366583</v>
      </c>
      <c r="V32" s="929">
        <v>1386.4538653366583</v>
      </c>
      <c r="W32" s="929">
        <v>1386.4538653366583</v>
      </c>
      <c r="X32" s="929">
        <v>1386.4538653366583</v>
      </c>
      <c r="Y32" s="929">
        <v>1386.4538653366583</v>
      </c>
      <c r="Z32" s="929">
        <v>1386.4538653366583</v>
      </c>
      <c r="AA32" s="929">
        <v>1386.4538653366583</v>
      </c>
      <c r="AB32" s="942">
        <v>1386.4538653366583</v>
      </c>
      <c r="AC32" s="943">
        <v>16637.4463840399</v>
      </c>
      <c r="AD32" s="921">
        <v>2125.4337755610973</v>
      </c>
      <c r="AE32" s="968">
        <v>2125.4337755610973</v>
      </c>
      <c r="AF32" s="968">
        <v>2125.4337755610973</v>
      </c>
      <c r="AG32" s="968">
        <v>2125.4337755610973</v>
      </c>
      <c r="AH32" s="968">
        <v>2125.4337755610973</v>
      </c>
      <c r="AI32" s="968">
        <v>2125.4337755610973</v>
      </c>
      <c r="AJ32" s="968">
        <v>2125.4337755610973</v>
      </c>
      <c r="AK32" s="968">
        <v>2125.4337755610973</v>
      </c>
      <c r="AL32" s="968">
        <v>2125.4337755610973</v>
      </c>
      <c r="AM32" s="968">
        <v>2125.4337755610973</v>
      </c>
      <c r="AN32" s="968">
        <v>2125.4337755610973</v>
      </c>
      <c r="AO32" s="975">
        <v>2125.4337755610973</v>
      </c>
      <c r="AP32" s="943">
        <v>25505.205306733169</v>
      </c>
      <c r="AQ32" s="941">
        <v>2353.2094285087278</v>
      </c>
      <c r="AR32" s="929">
        <v>2353.2094285087278</v>
      </c>
      <c r="AS32" s="929">
        <v>2353.2094285087278</v>
      </c>
      <c r="AT32" s="929">
        <v>2353.2094285087278</v>
      </c>
      <c r="AU32" s="929">
        <v>2353.2094285087278</v>
      </c>
      <c r="AV32" s="929">
        <v>2353.2094285087278</v>
      </c>
      <c r="AW32" s="929">
        <v>2353.2094285087278</v>
      </c>
      <c r="AX32" s="929">
        <v>2353.2094285087278</v>
      </c>
      <c r="AY32" s="929">
        <v>2353.2094285087278</v>
      </c>
      <c r="AZ32" s="929">
        <v>2353.2094285087278</v>
      </c>
      <c r="BA32" s="929">
        <v>2353.2094285087278</v>
      </c>
      <c r="BB32" s="942">
        <v>2353.2094285087278</v>
      </c>
      <c r="BC32" s="943">
        <v>28238.513142104741</v>
      </c>
      <c r="BD32" s="941">
        <v>3144.9738931469728</v>
      </c>
      <c r="BE32" s="929">
        <v>3144.9738931469728</v>
      </c>
      <c r="BF32" s="929">
        <v>3144.9738931469728</v>
      </c>
      <c r="BG32" s="929">
        <v>3144.9738931469728</v>
      </c>
      <c r="BH32" s="929">
        <v>3144.9738931469728</v>
      </c>
      <c r="BI32" s="929">
        <v>3144.9738931469728</v>
      </c>
      <c r="BJ32" s="929">
        <v>3144.9738931469728</v>
      </c>
      <c r="BK32" s="929">
        <v>3144.9738931469728</v>
      </c>
      <c r="BL32" s="929">
        <v>3144.9738931469728</v>
      </c>
      <c r="BM32" s="929">
        <v>3144.9738931469728</v>
      </c>
      <c r="BN32" s="929">
        <v>3144.9738931469728</v>
      </c>
      <c r="BO32" s="942">
        <v>3144.9738931469728</v>
      </c>
      <c r="BP32" s="943">
        <v>37739.686717763674</v>
      </c>
    </row>
    <row r="33" spans="2:68">
      <c r="B33" s="1738"/>
      <c r="C33" s="274" t="s">
        <v>1160</v>
      </c>
      <c r="D33" s="941">
        <v>500</v>
      </c>
      <c r="E33" s="929">
        <v>500</v>
      </c>
      <c r="F33" s="929">
        <v>500</v>
      </c>
      <c r="G33" s="929">
        <v>500</v>
      </c>
      <c r="H33" s="929">
        <v>500</v>
      </c>
      <c r="I33" s="929">
        <v>500</v>
      </c>
      <c r="J33" s="929">
        <v>500</v>
      </c>
      <c r="K33" s="929">
        <v>500</v>
      </c>
      <c r="L33" s="929">
        <v>500</v>
      </c>
      <c r="M33" s="929">
        <v>500</v>
      </c>
      <c r="N33" s="929">
        <v>500</v>
      </c>
      <c r="O33" s="942">
        <v>500</v>
      </c>
      <c r="P33" s="943">
        <v>6000</v>
      </c>
      <c r="Q33" s="941">
        <v>700</v>
      </c>
      <c r="R33" s="929">
        <v>700</v>
      </c>
      <c r="S33" s="929">
        <v>700</v>
      </c>
      <c r="T33" s="929">
        <v>700</v>
      </c>
      <c r="U33" s="929">
        <v>700</v>
      </c>
      <c r="V33" s="929">
        <v>700</v>
      </c>
      <c r="W33" s="929">
        <v>700</v>
      </c>
      <c r="X33" s="929">
        <v>700</v>
      </c>
      <c r="Y33" s="929">
        <v>700</v>
      </c>
      <c r="Z33" s="929">
        <v>700</v>
      </c>
      <c r="AA33" s="929">
        <v>700</v>
      </c>
      <c r="AB33" s="942">
        <v>700</v>
      </c>
      <c r="AC33" s="943">
        <v>8400</v>
      </c>
      <c r="AD33" s="921">
        <v>900</v>
      </c>
      <c r="AE33" s="968">
        <v>900</v>
      </c>
      <c r="AF33" s="968">
        <v>900</v>
      </c>
      <c r="AG33" s="968">
        <v>900</v>
      </c>
      <c r="AH33" s="968">
        <v>900</v>
      </c>
      <c r="AI33" s="968">
        <v>900</v>
      </c>
      <c r="AJ33" s="968">
        <v>900</v>
      </c>
      <c r="AK33" s="968">
        <v>900</v>
      </c>
      <c r="AL33" s="968">
        <v>900</v>
      </c>
      <c r="AM33" s="968">
        <v>900</v>
      </c>
      <c r="AN33" s="968">
        <v>900</v>
      </c>
      <c r="AO33" s="975">
        <v>900</v>
      </c>
      <c r="AP33" s="943">
        <v>10800</v>
      </c>
      <c r="AQ33" s="941">
        <v>1200</v>
      </c>
      <c r="AR33" s="929">
        <v>1200</v>
      </c>
      <c r="AS33" s="929">
        <v>1200</v>
      </c>
      <c r="AT33" s="929">
        <v>1200</v>
      </c>
      <c r="AU33" s="929">
        <v>1200</v>
      </c>
      <c r="AV33" s="929">
        <v>1200</v>
      </c>
      <c r="AW33" s="929">
        <v>1200</v>
      </c>
      <c r="AX33" s="929">
        <v>1200</v>
      </c>
      <c r="AY33" s="929">
        <v>1200</v>
      </c>
      <c r="AZ33" s="929">
        <v>1200</v>
      </c>
      <c r="BA33" s="929">
        <v>1200</v>
      </c>
      <c r="BB33" s="942">
        <v>1200</v>
      </c>
      <c r="BC33" s="943">
        <v>14400</v>
      </c>
      <c r="BD33" s="941">
        <v>1300</v>
      </c>
      <c r="BE33" s="929">
        <v>1300</v>
      </c>
      <c r="BF33" s="929">
        <v>1300</v>
      </c>
      <c r="BG33" s="929">
        <v>1300</v>
      </c>
      <c r="BH33" s="929">
        <v>1300</v>
      </c>
      <c r="BI33" s="929">
        <v>1300</v>
      </c>
      <c r="BJ33" s="929">
        <v>1300</v>
      </c>
      <c r="BK33" s="929">
        <v>1300</v>
      </c>
      <c r="BL33" s="929">
        <v>1300</v>
      </c>
      <c r="BM33" s="929">
        <v>1300</v>
      </c>
      <c r="BN33" s="929">
        <v>1300</v>
      </c>
      <c r="BO33" s="942">
        <v>1300</v>
      </c>
      <c r="BP33" s="943">
        <v>15600</v>
      </c>
    </row>
    <row r="34" spans="2:68">
      <c r="B34" s="1738"/>
      <c r="C34" s="274" t="s">
        <v>1039</v>
      </c>
      <c r="D34" s="941">
        <v>0</v>
      </c>
      <c r="E34" s="929">
        <v>0</v>
      </c>
      <c r="F34" s="929">
        <v>283.19727469437782</v>
      </c>
      <c r="G34" s="929">
        <v>403.98432750874616</v>
      </c>
      <c r="H34" s="929">
        <v>699.59580966411522</v>
      </c>
      <c r="I34" s="929">
        <v>1247.3306184315136</v>
      </c>
      <c r="J34" s="929">
        <v>1704.64527673149</v>
      </c>
      <c r="K34" s="929">
        <v>2402.2690192715049</v>
      </c>
      <c r="L34" s="929">
        <v>2448.6391479445469</v>
      </c>
      <c r="M34" s="929">
        <v>2651.3220954852723</v>
      </c>
      <c r="N34" s="929">
        <v>3076.8375987746181</v>
      </c>
      <c r="O34" s="942">
        <v>2649.9630719571419</v>
      </c>
      <c r="P34" s="943">
        <v>17567.78424046333</v>
      </c>
      <c r="Q34" s="941">
        <v>1621.4184502143428</v>
      </c>
      <c r="R34" s="929">
        <v>1618.8319734600711</v>
      </c>
      <c r="S34" s="929">
        <v>1907.1655549309135</v>
      </c>
      <c r="T34" s="929">
        <v>1813.2830110151478</v>
      </c>
      <c r="U34" s="929">
        <v>1883.6208915290267</v>
      </c>
      <c r="V34" s="929">
        <v>2098.4702817300936</v>
      </c>
      <c r="W34" s="929">
        <v>2085.2033910277987</v>
      </c>
      <c r="X34" s="929">
        <v>2308.3277863243338</v>
      </c>
      <c r="Y34" s="929">
        <v>2195.5084015848306</v>
      </c>
      <c r="Z34" s="929">
        <v>2097.0739416827469</v>
      </c>
      <c r="AA34" s="929">
        <v>2176.9609362142251</v>
      </c>
      <c r="AB34" s="942">
        <v>1780.7783035352386</v>
      </c>
      <c r="AC34" s="943">
        <v>23586.642923248764</v>
      </c>
      <c r="AD34" s="921">
        <v>1815.5788972679291</v>
      </c>
      <c r="AE34" s="968">
        <v>1812.2740679934141</v>
      </c>
      <c r="AF34" s="968">
        <v>2134.584873579227</v>
      </c>
      <c r="AG34" s="968">
        <v>2029.057661869678</v>
      </c>
      <c r="AH34" s="968">
        <v>2107.3024904369781</v>
      </c>
      <c r="AI34" s="968">
        <v>2347.1540902616266</v>
      </c>
      <c r="AJ34" s="968">
        <v>2331.8112832600923</v>
      </c>
      <c r="AK34" s="968">
        <v>2580.7708557788046</v>
      </c>
      <c r="AL34" s="968">
        <v>2454.1146055091863</v>
      </c>
      <c r="AM34" s="968">
        <v>2343.5920835895599</v>
      </c>
      <c r="AN34" s="968">
        <v>2432.3620464101073</v>
      </c>
      <c r="AO34" s="975">
        <v>1989.2872253009336</v>
      </c>
      <c r="AP34" s="943">
        <v>26377.890181257535</v>
      </c>
      <c r="AQ34" s="941">
        <v>1351.8306965417439</v>
      </c>
      <c r="AR34" s="929">
        <v>1349.0951664405763</v>
      </c>
      <c r="AS34" s="929">
        <v>1588.7091430221583</v>
      </c>
      <c r="AT34" s="929">
        <v>1509.8657355152038</v>
      </c>
      <c r="AU34" s="929">
        <v>1567.7777660859033</v>
      </c>
      <c r="AV34" s="929">
        <v>1745.8768297723893</v>
      </c>
      <c r="AW34" s="929">
        <v>1734.1252733392489</v>
      </c>
      <c r="AX34" s="929">
        <v>1918.8996542267714</v>
      </c>
      <c r="AY34" s="929">
        <v>1824.3748781765921</v>
      </c>
      <c r="AZ34" s="929">
        <v>1741.8804920721138</v>
      </c>
      <c r="BA34" s="929">
        <v>1807.5166177130054</v>
      </c>
      <c r="BB34" s="942">
        <v>1477.9848131372626</v>
      </c>
      <c r="BC34" s="943">
        <v>19617.93706604297</v>
      </c>
      <c r="BD34" s="941">
        <v>1882.8472713315475</v>
      </c>
      <c r="BE34" s="929">
        <v>1878.6896803717584</v>
      </c>
      <c r="BF34" s="929">
        <v>2211.9594427897132</v>
      </c>
      <c r="BG34" s="929">
        <v>2101.8030381168724</v>
      </c>
      <c r="BH34" s="929">
        <v>2182.0249940848144</v>
      </c>
      <c r="BI34" s="929">
        <v>2429.466755349235</v>
      </c>
      <c r="BJ34" s="929">
        <v>2412.6846714690359</v>
      </c>
      <c r="BK34" s="929">
        <v>2669.2895828481314</v>
      </c>
      <c r="BL34" s="929">
        <v>2537.3561193794221</v>
      </c>
      <c r="BM34" s="929">
        <v>2422.2010605032096</v>
      </c>
      <c r="BN34" s="929">
        <v>2513.0388232197347</v>
      </c>
      <c r="BO34" s="942">
        <v>2054.5300634892601</v>
      </c>
      <c r="BP34" s="943">
        <v>27295.891502952731</v>
      </c>
    </row>
    <row r="35" spans="2:68">
      <c r="B35" s="1738"/>
      <c r="C35" s="274" t="s">
        <v>1038</v>
      </c>
      <c r="D35" s="941">
        <v>1000</v>
      </c>
      <c r="E35" s="929">
        <v>1000</v>
      </c>
      <c r="F35" s="929">
        <v>1000</v>
      </c>
      <c r="G35" s="929">
        <v>1000</v>
      </c>
      <c r="H35" s="929">
        <v>1000</v>
      </c>
      <c r="I35" s="929">
        <v>1000</v>
      </c>
      <c r="J35" s="929">
        <v>1000</v>
      </c>
      <c r="K35" s="929">
        <v>1000</v>
      </c>
      <c r="L35" s="929">
        <v>1000</v>
      </c>
      <c r="M35" s="929">
        <v>1000</v>
      </c>
      <c r="N35" s="929">
        <v>1000</v>
      </c>
      <c r="O35" s="942">
        <v>1000</v>
      </c>
      <c r="P35" s="943">
        <v>12000</v>
      </c>
      <c r="Q35" s="941">
        <v>850</v>
      </c>
      <c r="R35" s="929">
        <v>850</v>
      </c>
      <c r="S35" s="929">
        <v>850</v>
      </c>
      <c r="T35" s="929">
        <v>850</v>
      </c>
      <c r="U35" s="929">
        <v>850</v>
      </c>
      <c r="V35" s="929">
        <v>850</v>
      </c>
      <c r="W35" s="929">
        <v>850</v>
      </c>
      <c r="X35" s="929">
        <v>850</v>
      </c>
      <c r="Y35" s="929">
        <v>850</v>
      </c>
      <c r="Z35" s="929">
        <v>850</v>
      </c>
      <c r="AA35" s="929">
        <v>850</v>
      </c>
      <c r="AB35" s="942">
        <v>850</v>
      </c>
      <c r="AC35" s="943">
        <v>10200</v>
      </c>
      <c r="AD35" s="921">
        <v>850</v>
      </c>
      <c r="AE35" s="968">
        <v>850</v>
      </c>
      <c r="AF35" s="968">
        <v>850</v>
      </c>
      <c r="AG35" s="968">
        <v>850</v>
      </c>
      <c r="AH35" s="968">
        <v>850</v>
      </c>
      <c r="AI35" s="968">
        <v>850</v>
      </c>
      <c r="AJ35" s="968">
        <v>850</v>
      </c>
      <c r="AK35" s="968">
        <v>850</v>
      </c>
      <c r="AL35" s="968">
        <v>850</v>
      </c>
      <c r="AM35" s="968">
        <v>850</v>
      </c>
      <c r="AN35" s="968">
        <v>850</v>
      </c>
      <c r="AO35" s="975">
        <v>850</v>
      </c>
      <c r="AP35" s="943">
        <v>10200</v>
      </c>
      <c r="AQ35" s="941">
        <v>750</v>
      </c>
      <c r="AR35" s="929">
        <v>750</v>
      </c>
      <c r="AS35" s="929">
        <v>750</v>
      </c>
      <c r="AT35" s="929">
        <v>750</v>
      </c>
      <c r="AU35" s="929">
        <v>750</v>
      </c>
      <c r="AV35" s="929">
        <v>750</v>
      </c>
      <c r="AW35" s="929">
        <v>750</v>
      </c>
      <c r="AX35" s="929">
        <v>750</v>
      </c>
      <c r="AY35" s="929">
        <v>750</v>
      </c>
      <c r="AZ35" s="929">
        <v>750</v>
      </c>
      <c r="BA35" s="929">
        <v>750</v>
      </c>
      <c r="BB35" s="942">
        <v>750</v>
      </c>
      <c r="BC35" s="943">
        <v>9000</v>
      </c>
      <c r="BD35" s="941">
        <v>750</v>
      </c>
      <c r="BE35" s="929">
        <v>750</v>
      </c>
      <c r="BF35" s="929">
        <v>750</v>
      </c>
      <c r="BG35" s="929">
        <v>750</v>
      </c>
      <c r="BH35" s="929">
        <v>750</v>
      </c>
      <c r="BI35" s="929">
        <v>750</v>
      </c>
      <c r="BJ35" s="929">
        <v>750</v>
      </c>
      <c r="BK35" s="929">
        <v>750</v>
      </c>
      <c r="BL35" s="929">
        <v>750</v>
      </c>
      <c r="BM35" s="929">
        <v>750</v>
      </c>
      <c r="BN35" s="929">
        <v>750</v>
      </c>
      <c r="BO35" s="942">
        <v>750</v>
      </c>
      <c r="BP35" s="943">
        <v>9000</v>
      </c>
    </row>
    <row r="36" spans="2:68" ht="15" thickBot="1">
      <c r="B36" s="1371"/>
      <c r="C36" s="275" t="s">
        <v>1040</v>
      </c>
      <c r="D36" s="934">
        <v>272.59730300579167</v>
      </c>
      <c r="E36" s="919">
        <v>272.59730300579167</v>
      </c>
      <c r="F36" s="919">
        <v>272.59730300579167</v>
      </c>
      <c r="G36" s="919">
        <v>272.59730300579167</v>
      </c>
      <c r="H36" s="919">
        <v>272.59730300579167</v>
      </c>
      <c r="I36" s="919">
        <v>272.59730300579167</v>
      </c>
      <c r="J36" s="919">
        <v>272.59730300579167</v>
      </c>
      <c r="K36" s="919">
        <v>272.59730300579167</v>
      </c>
      <c r="L36" s="919">
        <v>272.59730300579167</v>
      </c>
      <c r="M36" s="919">
        <v>272.59730300579167</v>
      </c>
      <c r="N36" s="919">
        <v>272.59730300579167</v>
      </c>
      <c r="O36" s="940">
        <v>272.59730300579167</v>
      </c>
      <c r="P36" s="935">
        <v>3271.1676360695001</v>
      </c>
      <c r="Q36" s="934">
        <v>1036.9427884686986</v>
      </c>
      <c r="R36" s="919">
        <v>1036.9427884686986</v>
      </c>
      <c r="S36" s="919">
        <v>1036.9427884686986</v>
      </c>
      <c r="T36" s="919">
        <v>1036.9427884686986</v>
      </c>
      <c r="U36" s="919">
        <v>1036.9427884686986</v>
      </c>
      <c r="V36" s="919">
        <v>1036.9427884686986</v>
      </c>
      <c r="W36" s="919">
        <v>1036.9427884686986</v>
      </c>
      <c r="X36" s="919">
        <v>1036.9427884686986</v>
      </c>
      <c r="Y36" s="919">
        <v>1036.9427884686986</v>
      </c>
      <c r="Z36" s="919">
        <v>1036.9427884686986</v>
      </c>
      <c r="AA36" s="919">
        <v>1036.9427884686986</v>
      </c>
      <c r="AB36" s="940">
        <v>1036.9427884686986</v>
      </c>
      <c r="AC36" s="935">
        <v>12443.313461624386</v>
      </c>
      <c r="AD36" s="937">
        <v>1154.4364095523977</v>
      </c>
      <c r="AE36" s="970">
        <v>1154.4364095523977</v>
      </c>
      <c r="AF36" s="970">
        <v>1154.4364095523977</v>
      </c>
      <c r="AG36" s="970">
        <v>1154.4364095523977</v>
      </c>
      <c r="AH36" s="970">
        <v>1154.4364095523977</v>
      </c>
      <c r="AI36" s="970">
        <v>1154.4364095523977</v>
      </c>
      <c r="AJ36" s="970">
        <v>1154.4364095523977</v>
      </c>
      <c r="AK36" s="970">
        <v>1154.4364095523977</v>
      </c>
      <c r="AL36" s="970">
        <v>1154.4364095523977</v>
      </c>
      <c r="AM36" s="970">
        <v>1154.4364095523977</v>
      </c>
      <c r="AN36" s="970">
        <v>1154.4364095523977</v>
      </c>
      <c r="AO36" s="976">
        <v>1154.4364095523977</v>
      </c>
      <c r="AP36" s="935">
        <v>13853.236914628773</v>
      </c>
      <c r="AQ36" s="934">
        <v>1691.4036091809146</v>
      </c>
      <c r="AR36" s="919">
        <v>1691.4036091809146</v>
      </c>
      <c r="AS36" s="919">
        <v>1691.4036091809146</v>
      </c>
      <c r="AT36" s="919">
        <v>1691.4036091809146</v>
      </c>
      <c r="AU36" s="919">
        <v>1691.4036091809146</v>
      </c>
      <c r="AV36" s="919">
        <v>1691.4036091809146</v>
      </c>
      <c r="AW36" s="919">
        <v>1691.4036091809146</v>
      </c>
      <c r="AX36" s="919">
        <v>1691.4036091809146</v>
      </c>
      <c r="AY36" s="919">
        <v>1691.4036091809146</v>
      </c>
      <c r="AZ36" s="919">
        <v>1691.4036091809146</v>
      </c>
      <c r="BA36" s="919">
        <v>1691.4036091809146</v>
      </c>
      <c r="BB36" s="940">
        <v>1691.4036091809146</v>
      </c>
      <c r="BC36" s="935">
        <v>20296.843310170971</v>
      </c>
      <c r="BD36" s="934">
        <v>2332.4778070376292</v>
      </c>
      <c r="BE36" s="919">
        <v>2332.4778070376292</v>
      </c>
      <c r="BF36" s="919">
        <v>2332.4778070376292</v>
      </c>
      <c r="BG36" s="919">
        <v>2332.4778070376292</v>
      </c>
      <c r="BH36" s="919">
        <v>2332.4778070376292</v>
      </c>
      <c r="BI36" s="919">
        <v>2332.4778070376292</v>
      </c>
      <c r="BJ36" s="919">
        <v>2332.4778070376292</v>
      </c>
      <c r="BK36" s="919">
        <v>2332.4778070376292</v>
      </c>
      <c r="BL36" s="919">
        <v>2332.4778070376292</v>
      </c>
      <c r="BM36" s="919">
        <v>2332.4778070376292</v>
      </c>
      <c r="BN36" s="919">
        <v>2332.4778070376292</v>
      </c>
      <c r="BO36" s="940">
        <v>2332.4778070376292</v>
      </c>
      <c r="BP36" s="935">
        <v>27989.733684451556</v>
      </c>
    </row>
    <row r="37" spans="2:68">
      <c r="B37" s="1727" t="s">
        <v>607</v>
      </c>
      <c r="C37" s="273" t="s">
        <v>1161</v>
      </c>
      <c r="D37" s="1264">
        <v>0</v>
      </c>
      <c r="E37" s="216">
        <v>0</v>
      </c>
      <c r="F37" s="216">
        <v>0</v>
      </c>
      <c r="G37" s="216">
        <v>0</v>
      </c>
      <c r="H37" s="216">
        <v>0</v>
      </c>
      <c r="I37" s="216">
        <v>0</v>
      </c>
      <c r="J37" s="216">
        <v>0</v>
      </c>
      <c r="K37" s="216">
        <v>0</v>
      </c>
      <c r="L37" s="216">
        <v>0</v>
      </c>
      <c r="M37" s="216">
        <v>0</v>
      </c>
      <c r="N37" s="216">
        <v>0</v>
      </c>
      <c r="O37" s="1265">
        <v>0</v>
      </c>
      <c r="P37" s="960">
        <v>0</v>
      </c>
      <c r="Q37" s="1264">
        <v>0</v>
      </c>
      <c r="R37" s="216">
        <v>0</v>
      </c>
      <c r="S37" s="216">
        <v>0</v>
      </c>
      <c r="T37" s="216">
        <v>0</v>
      </c>
      <c r="U37" s="216">
        <v>0</v>
      </c>
      <c r="V37" s="216">
        <v>0</v>
      </c>
      <c r="W37" s="216">
        <v>0</v>
      </c>
      <c r="X37" s="216">
        <v>0</v>
      </c>
      <c r="Y37" s="216">
        <v>0</v>
      </c>
      <c r="Z37" s="216">
        <v>0</v>
      </c>
      <c r="AA37" s="216">
        <v>0</v>
      </c>
      <c r="AB37" s="1265">
        <v>0</v>
      </c>
      <c r="AC37" s="1266">
        <v>0</v>
      </c>
      <c r="AD37" s="1267">
        <v>0</v>
      </c>
      <c r="AE37" s="821">
        <v>0</v>
      </c>
      <c r="AF37" s="821">
        <v>0</v>
      </c>
      <c r="AG37" s="821">
        <v>0</v>
      </c>
      <c r="AH37" s="821">
        <v>0</v>
      </c>
      <c r="AI37" s="821">
        <v>0</v>
      </c>
      <c r="AJ37" s="821">
        <v>0</v>
      </c>
      <c r="AK37" s="821">
        <v>0</v>
      </c>
      <c r="AL37" s="821">
        <v>0</v>
      </c>
      <c r="AM37" s="821">
        <v>0</v>
      </c>
      <c r="AN37" s="821">
        <v>0</v>
      </c>
      <c r="AO37" s="1268">
        <v>0</v>
      </c>
      <c r="AP37" s="1266">
        <v>0</v>
      </c>
      <c r="AQ37" s="1264">
        <v>0</v>
      </c>
      <c r="AR37" s="216">
        <v>0</v>
      </c>
      <c r="AS37" s="216">
        <v>0</v>
      </c>
      <c r="AT37" s="216">
        <v>0</v>
      </c>
      <c r="AU37" s="216">
        <v>0</v>
      </c>
      <c r="AV37" s="216">
        <v>0</v>
      </c>
      <c r="AW37" s="216">
        <v>0</v>
      </c>
      <c r="AX37" s="216">
        <v>0</v>
      </c>
      <c r="AY37" s="216">
        <v>0</v>
      </c>
      <c r="AZ37" s="216">
        <v>0</v>
      </c>
      <c r="BA37" s="216">
        <v>0</v>
      </c>
      <c r="BB37" s="1265">
        <v>0</v>
      </c>
      <c r="BC37" s="1266">
        <v>0</v>
      </c>
      <c r="BD37" s="1264">
        <v>0</v>
      </c>
      <c r="BE37" s="216">
        <v>0</v>
      </c>
      <c r="BF37" s="216">
        <v>0</v>
      </c>
      <c r="BG37" s="216">
        <v>0</v>
      </c>
      <c r="BH37" s="216">
        <v>0</v>
      </c>
      <c r="BI37" s="216">
        <v>0</v>
      </c>
      <c r="BJ37" s="216">
        <v>0</v>
      </c>
      <c r="BK37" s="216">
        <v>0</v>
      </c>
      <c r="BL37" s="216">
        <v>0</v>
      </c>
      <c r="BM37" s="216">
        <v>0</v>
      </c>
      <c r="BN37" s="216">
        <v>0</v>
      </c>
      <c r="BO37" s="1265">
        <v>0</v>
      </c>
      <c r="BP37" s="1266">
        <v>0</v>
      </c>
    </row>
    <row r="38" spans="2:68">
      <c r="B38" s="1728"/>
      <c r="C38" s="274" t="s">
        <v>1162</v>
      </c>
      <c r="D38" s="1120">
        <v>0</v>
      </c>
      <c r="E38" s="212">
        <v>0</v>
      </c>
      <c r="F38" s="212">
        <v>0</v>
      </c>
      <c r="G38" s="212">
        <v>0</v>
      </c>
      <c r="H38" s="212">
        <v>0</v>
      </c>
      <c r="I38" s="212">
        <v>0</v>
      </c>
      <c r="J38" s="212">
        <v>0</v>
      </c>
      <c r="K38" s="212">
        <v>0</v>
      </c>
      <c r="L38" s="212">
        <v>0</v>
      </c>
      <c r="M38" s="212">
        <v>0</v>
      </c>
      <c r="N38" s="212">
        <v>0</v>
      </c>
      <c r="O38" s="1097">
        <v>0</v>
      </c>
      <c r="P38" s="943">
        <v>0</v>
      </c>
      <c r="Q38" s="1120">
        <v>3265.1121191592588</v>
      </c>
      <c r="R38" s="212">
        <v>3265.1121191592588</v>
      </c>
      <c r="S38" s="212">
        <v>3265.1121191592588</v>
      </c>
      <c r="T38" s="212">
        <v>3265.1121191592588</v>
      </c>
      <c r="U38" s="212">
        <v>3265.1121191592588</v>
      </c>
      <c r="V38" s="212">
        <v>3265.1121191592588</v>
      </c>
      <c r="W38" s="212">
        <v>3265.1121191592588</v>
      </c>
      <c r="X38" s="212">
        <v>3265.1121191592588</v>
      </c>
      <c r="Y38" s="212">
        <v>3265.1121191592588</v>
      </c>
      <c r="Z38" s="212">
        <v>3265.1121191592588</v>
      </c>
      <c r="AA38" s="212">
        <v>3265.1121191592588</v>
      </c>
      <c r="AB38" s="1097">
        <v>3265.1121191592588</v>
      </c>
      <c r="AC38" s="1132">
        <v>39181.345429911104</v>
      </c>
      <c r="AD38" s="1131">
        <v>0</v>
      </c>
      <c r="AE38" s="193">
        <v>0</v>
      </c>
      <c r="AF38" s="193">
        <v>0</v>
      </c>
      <c r="AG38" s="193">
        <v>0</v>
      </c>
      <c r="AH38" s="193">
        <v>0</v>
      </c>
      <c r="AI38" s="193">
        <v>0</v>
      </c>
      <c r="AJ38" s="193">
        <v>0</v>
      </c>
      <c r="AK38" s="193">
        <v>0</v>
      </c>
      <c r="AL38" s="193">
        <v>0</v>
      </c>
      <c r="AM38" s="193">
        <v>0</v>
      </c>
      <c r="AN38" s="193">
        <v>0</v>
      </c>
      <c r="AO38" s="1155">
        <v>0</v>
      </c>
      <c r="AP38" s="1132">
        <v>0</v>
      </c>
      <c r="AQ38" s="1120">
        <v>0</v>
      </c>
      <c r="AR38" s="212">
        <v>0</v>
      </c>
      <c r="AS38" s="212">
        <v>0</v>
      </c>
      <c r="AT38" s="212">
        <v>0</v>
      </c>
      <c r="AU38" s="212">
        <v>0</v>
      </c>
      <c r="AV38" s="212">
        <v>0</v>
      </c>
      <c r="AW38" s="212">
        <v>0</v>
      </c>
      <c r="AX38" s="212">
        <v>0</v>
      </c>
      <c r="AY38" s="212">
        <v>0</v>
      </c>
      <c r="AZ38" s="212">
        <v>0</v>
      </c>
      <c r="BA38" s="212">
        <v>0</v>
      </c>
      <c r="BB38" s="1097">
        <v>0</v>
      </c>
      <c r="BC38" s="1132">
        <v>0</v>
      </c>
      <c r="BD38" s="1120">
        <v>0</v>
      </c>
      <c r="BE38" s="212">
        <v>0</v>
      </c>
      <c r="BF38" s="212">
        <v>0</v>
      </c>
      <c r="BG38" s="212">
        <v>0</v>
      </c>
      <c r="BH38" s="212">
        <v>0</v>
      </c>
      <c r="BI38" s="212">
        <v>0</v>
      </c>
      <c r="BJ38" s="212">
        <v>0</v>
      </c>
      <c r="BK38" s="212">
        <v>0</v>
      </c>
      <c r="BL38" s="212">
        <v>0</v>
      </c>
      <c r="BM38" s="212">
        <v>0</v>
      </c>
      <c r="BN38" s="212">
        <v>0</v>
      </c>
      <c r="BO38" s="1097">
        <v>0</v>
      </c>
      <c r="BP38" s="1132">
        <v>0</v>
      </c>
    </row>
    <row r="39" spans="2:68">
      <c r="B39" s="1728"/>
      <c r="C39" s="274" t="s">
        <v>1163</v>
      </c>
      <c r="D39" s="1120">
        <v>0</v>
      </c>
      <c r="E39" s="212">
        <v>0</v>
      </c>
      <c r="F39" s="212">
        <v>0</v>
      </c>
      <c r="G39" s="212">
        <v>0</v>
      </c>
      <c r="H39" s="212">
        <v>0</v>
      </c>
      <c r="I39" s="212">
        <v>0</v>
      </c>
      <c r="J39" s="212">
        <v>0</v>
      </c>
      <c r="K39" s="212">
        <v>0</v>
      </c>
      <c r="L39" s="212">
        <v>0</v>
      </c>
      <c r="M39" s="212">
        <v>0</v>
      </c>
      <c r="N39" s="212">
        <v>0</v>
      </c>
      <c r="O39" s="1097">
        <v>0</v>
      </c>
      <c r="P39" s="943">
        <v>0</v>
      </c>
      <c r="Q39" s="1120">
        <v>0</v>
      </c>
      <c r="R39" s="212">
        <v>0</v>
      </c>
      <c r="S39" s="212">
        <v>0</v>
      </c>
      <c r="T39" s="212">
        <v>0</v>
      </c>
      <c r="U39" s="212">
        <v>0</v>
      </c>
      <c r="V39" s="212">
        <v>0</v>
      </c>
      <c r="W39" s="212">
        <v>0</v>
      </c>
      <c r="X39" s="212">
        <v>0</v>
      </c>
      <c r="Y39" s="212">
        <v>0</v>
      </c>
      <c r="Z39" s="212">
        <v>0</v>
      </c>
      <c r="AA39" s="212">
        <v>0</v>
      </c>
      <c r="AB39" s="1097">
        <v>0</v>
      </c>
      <c r="AC39" s="1132">
        <v>0</v>
      </c>
      <c r="AD39" s="1131">
        <v>17869.37014430515</v>
      </c>
      <c r="AE39" s="193">
        <v>17869.37014430515</v>
      </c>
      <c r="AF39" s="193">
        <v>17869.37014430515</v>
      </c>
      <c r="AG39" s="193">
        <v>17869.37014430515</v>
      </c>
      <c r="AH39" s="193">
        <v>17869.37014430515</v>
      </c>
      <c r="AI39" s="193">
        <v>17869.37014430515</v>
      </c>
      <c r="AJ39" s="193">
        <v>17869.37014430515</v>
      </c>
      <c r="AK39" s="193">
        <v>17869.37014430515</v>
      </c>
      <c r="AL39" s="193">
        <v>17869.37014430515</v>
      </c>
      <c r="AM39" s="193">
        <v>17869.37014430515</v>
      </c>
      <c r="AN39" s="193">
        <v>17869.37014430515</v>
      </c>
      <c r="AO39" s="1155">
        <v>17869.37014430515</v>
      </c>
      <c r="AP39" s="1132">
        <v>214432.44173166179</v>
      </c>
      <c r="AQ39" s="1120">
        <v>22760.251483384211</v>
      </c>
      <c r="AR39" s="212">
        <v>22760.251483384211</v>
      </c>
      <c r="AS39" s="212">
        <v>22760.251483384211</v>
      </c>
      <c r="AT39" s="212">
        <v>22760.251483384211</v>
      </c>
      <c r="AU39" s="212">
        <v>22760.251483384211</v>
      </c>
      <c r="AV39" s="212">
        <v>22760.251483384211</v>
      </c>
      <c r="AW39" s="212">
        <v>22760.251483384211</v>
      </c>
      <c r="AX39" s="212">
        <v>22760.251483384211</v>
      </c>
      <c r="AY39" s="212">
        <v>22760.251483384211</v>
      </c>
      <c r="AZ39" s="212">
        <v>22760.251483384211</v>
      </c>
      <c r="BA39" s="212">
        <v>22760.251483384211</v>
      </c>
      <c r="BB39" s="1097">
        <v>22760.251483384211</v>
      </c>
      <c r="BC39" s="1132">
        <v>273123.01780061051</v>
      </c>
      <c r="BD39" s="1120">
        <v>48397.669779017895</v>
      </c>
      <c r="BE39" s="212">
        <v>48397.669779017895</v>
      </c>
      <c r="BF39" s="212">
        <v>48397.669779017895</v>
      </c>
      <c r="BG39" s="212">
        <v>48397.669779017895</v>
      </c>
      <c r="BH39" s="212">
        <v>48397.669779017895</v>
      </c>
      <c r="BI39" s="212">
        <v>48397.669779017895</v>
      </c>
      <c r="BJ39" s="212">
        <v>48397.669779017895</v>
      </c>
      <c r="BK39" s="212">
        <v>48397.669779017895</v>
      </c>
      <c r="BL39" s="212">
        <v>48397.669779017895</v>
      </c>
      <c r="BM39" s="212">
        <v>48397.669779017895</v>
      </c>
      <c r="BN39" s="212">
        <v>48397.669779017895</v>
      </c>
      <c r="BO39" s="1097">
        <v>48397.669779017895</v>
      </c>
      <c r="BP39" s="1132">
        <v>580772.03734821477</v>
      </c>
    </row>
    <row r="40" spans="2:68" ht="15" thickBot="1">
      <c r="B40" s="1729"/>
      <c r="C40" s="275" t="s">
        <v>1164</v>
      </c>
      <c r="D40" s="1121">
        <v>0</v>
      </c>
      <c r="E40" s="1121">
        <v>0</v>
      </c>
      <c r="F40" s="1121">
        <v>84.95918240831331</v>
      </c>
      <c r="G40" s="1121">
        <v>121.19529825262381</v>
      </c>
      <c r="H40" s="1121">
        <v>209.87874289923451</v>
      </c>
      <c r="I40" s="1121">
        <v>374.19918552945398</v>
      </c>
      <c r="J40" s="1121">
        <v>511.39358301944685</v>
      </c>
      <c r="K40" s="1121">
        <v>720.68070578145114</v>
      </c>
      <c r="L40" s="1121">
        <v>734.5917443833639</v>
      </c>
      <c r="M40" s="1121">
        <v>795.39662864558147</v>
      </c>
      <c r="N40" s="1121">
        <v>923.0512796323851</v>
      </c>
      <c r="O40" s="1121">
        <v>794.98892158714227</v>
      </c>
      <c r="P40" s="935">
        <v>5270.3352721389974</v>
      </c>
      <c r="Q40" s="1121">
        <v>1371.3525752928422</v>
      </c>
      <c r="R40" s="1121">
        <v>1369.1650020865322</v>
      </c>
      <c r="S40" s="1121">
        <v>1613.0298720349269</v>
      </c>
      <c r="T40" s="1121">
        <v>1533.6265148343787</v>
      </c>
      <c r="U40" s="1121">
        <v>1593.1164223105127</v>
      </c>
      <c r="V40" s="1121">
        <v>1774.8303188764371</v>
      </c>
      <c r="W40" s="1121">
        <v>1763.6095357847457</v>
      </c>
      <c r="X40" s="1121">
        <v>1952.3222114423543</v>
      </c>
      <c r="Y40" s="1121">
        <v>1856.9025782285971</v>
      </c>
      <c r="Z40" s="1121">
        <v>1773.6493316244043</v>
      </c>
      <c r="AA40" s="1121">
        <v>1841.2156256114163</v>
      </c>
      <c r="AB40" s="1121">
        <v>1506.1348982773934</v>
      </c>
      <c r="AC40" s="1133">
        <v>19948.954886404539</v>
      </c>
      <c r="AD40" s="1121">
        <v>2672.5176904400528</v>
      </c>
      <c r="AE40" s="1121">
        <v>2667.653008044088</v>
      </c>
      <c r="AF40" s="1121">
        <v>3142.091949278903</v>
      </c>
      <c r="AG40" s="1121">
        <v>2986.7567333095121</v>
      </c>
      <c r="AH40" s="1121">
        <v>3101.9324983760857</v>
      </c>
      <c r="AI40" s="1121">
        <v>3454.992144848241</v>
      </c>
      <c r="AJ40" s="1121">
        <v>3432.4076550228142</v>
      </c>
      <c r="AK40" s="1121">
        <v>3798.8741648296109</v>
      </c>
      <c r="AL40" s="1121">
        <v>3612.4371722209635</v>
      </c>
      <c r="AM40" s="1121">
        <v>3449.7488993694092</v>
      </c>
      <c r="AN40" s="1121">
        <v>3580.4175783095602</v>
      </c>
      <c r="AO40" s="1121">
        <v>2928.2149671288007</v>
      </c>
      <c r="AP40" s="1133">
        <v>38828.044461178048</v>
      </c>
      <c r="AQ40" s="1121">
        <v>2941.8598362270559</v>
      </c>
      <c r="AR40" s="1121">
        <v>2935.9067637335834</v>
      </c>
      <c r="AS40" s="1121">
        <v>3457.3557408187394</v>
      </c>
      <c r="AT40" s="1121">
        <v>3285.776374786175</v>
      </c>
      <c r="AU40" s="1121">
        <v>3411.8047873722576</v>
      </c>
      <c r="AV40" s="1121">
        <v>3799.384743700567</v>
      </c>
      <c r="AW40" s="1121">
        <v>3773.8109555240953</v>
      </c>
      <c r="AX40" s="1121">
        <v>4175.917766153053</v>
      </c>
      <c r="AY40" s="1121">
        <v>3970.2125377529574</v>
      </c>
      <c r="AZ40" s="1121">
        <v>3790.6878962310461</v>
      </c>
      <c r="BA40" s="1121">
        <v>3933.5255180741219</v>
      </c>
      <c r="BB40" s="1121">
        <v>3216.3969729679816</v>
      </c>
      <c r="BC40" s="1133">
        <v>42692.639893341642</v>
      </c>
      <c r="BD40" s="1121">
        <v>4695.1158675334364</v>
      </c>
      <c r="BE40" s="1121">
        <v>4684.748392920259</v>
      </c>
      <c r="BF40" s="1121">
        <v>5515.7983530113161</v>
      </c>
      <c r="BG40" s="1121">
        <v>5241.1095392318921</v>
      </c>
      <c r="BH40" s="1121">
        <v>5441.153049995929</v>
      </c>
      <c r="BI40" s="1121">
        <v>6058.1801223943194</v>
      </c>
      <c r="BJ40" s="1121">
        <v>6016.3318909865347</v>
      </c>
      <c r="BK40" s="1121">
        <v>6656.2084276803362</v>
      </c>
      <c r="BL40" s="1121">
        <v>6327.2157859391327</v>
      </c>
      <c r="BM40" s="1121">
        <v>6040.062200840277</v>
      </c>
      <c r="BN40" s="1121">
        <v>6266.5775574469635</v>
      </c>
      <c r="BO40" s="1121">
        <v>5123.2284467720428</v>
      </c>
      <c r="BP40" s="1133">
        <v>68065.729634752439</v>
      </c>
    </row>
    <row r="41" spans="2:68" ht="15" thickBot="1">
      <c r="B41" s="302"/>
      <c r="C41" s="327"/>
      <c r="D41" s="922"/>
      <c r="E41" s="923"/>
      <c r="F41" s="923"/>
      <c r="G41" s="923"/>
      <c r="H41" s="923"/>
      <c r="I41" s="923"/>
      <c r="J41" s="923"/>
      <c r="K41" s="923"/>
      <c r="L41" s="923"/>
      <c r="M41" s="923"/>
      <c r="N41" s="923"/>
      <c r="O41" s="924"/>
      <c r="P41" s="925"/>
      <c r="Q41" s="957"/>
      <c r="R41" s="952"/>
      <c r="S41" s="952"/>
      <c r="T41" s="952"/>
      <c r="U41" s="952"/>
      <c r="V41" s="952"/>
      <c r="W41" s="952"/>
      <c r="X41" s="952"/>
      <c r="Y41" s="952"/>
      <c r="Z41" s="952"/>
      <c r="AA41" s="952"/>
      <c r="AB41" s="953"/>
      <c r="AC41" s="954"/>
      <c r="AD41" s="955"/>
      <c r="AE41" s="955"/>
      <c r="AF41" s="955"/>
      <c r="AG41" s="955"/>
      <c r="AH41" s="955"/>
      <c r="AI41" s="955"/>
      <c r="AJ41" s="955"/>
      <c r="AK41" s="955"/>
      <c r="AL41" s="955"/>
      <c r="AM41" s="955"/>
      <c r="AN41" s="955"/>
      <c r="AO41" s="956"/>
      <c r="AP41" s="954"/>
      <c r="AQ41" s="957"/>
      <c r="AR41" s="952"/>
      <c r="AS41" s="952"/>
      <c r="AT41" s="952"/>
      <c r="AU41" s="952"/>
      <c r="AV41" s="952"/>
      <c r="AW41" s="952"/>
      <c r="AX41" s="952"/>
      <c r="AY41" s="952"/>
      <c r="AZ41" s="952"/>
      <c r="BA41" s="952"/>
      <c r="BB41" s="953"/>
      <c r="BC41" s="954"/>
      <c r="BD41" s="957"/>
      <c r="BE41" s="952"/>
      <c r="BF41" s="952"/>
      <c r="BG41" s="952"/>
      <c r="BH41" s="952"/>
      <c r="BI41" s="952"/>
      <c r="BJ41" s="952"/>
      <c r="BK41" s="952"/>
      <c r="BL41" s="952"/>
      <c r="BM41" s="952"/>
      <c r="BN41" s="952"/>
      <c r="BO41" s="953"/>
      <c r="BP41" s="954"/>
    </row>
    <row r="42" spans="2:68">
      <c r="B42" s="304" t="s">
        <v>1165</v>
      </c>
      <c r="C42" s="326"/>
      <c r="D42" s="958">
        <v>20474.340683007937</v>
      </c>
      <c r="E42" s="958">
        <v>20474.340683007937</v>
      </c>
      <c r="F42" s="958">
        <v>45253.054746223941</v>
      </c>
      <c r="G42" s="958">
        <v>43190.936314326864</v>
      </c>
      <c r="H42" s="958">
        <v>44684.802041406714</v>
      </c>
      <c r="I42" s="958">
        <v>44287.286492526458</v>
      </c>
      <c r="J42" s="958">
        <v>46268.759048663778</v>
      </c>
      <c r="K42" s="958">
        <v>49533.507864556283</v>
      </c>
      <c r="L42" s="958">
        <v>48414.870056535983</v>
      </c>
      <c r="M42" s="958">
        <v>48678.357888338935</v>
      </c>
      <c r="N42" s="958">
        <v>48052.609067319841</v>
      </c>
      <c r="O42" s="959">
        <v>49855.510133047617</v>
      </c>
      <c r="P42" s="932">
        <v>509168.37501896237</v>
      </c>
      <c r="Q42" s="931">
        <v>82324.985440303208</v>
      </c>
      <c r="R42" s="958">
        <v>79918.20465425594</v>
      </c>
      <c r="S42" s="958">
        <v>85254.416577848533</v>
      </c>
      <c r="T42" s="958">
        <v>80277.117204558861</v>
      </c>
      <c r="U42" s="958">
        <v>82808.951728635569</v>
      </c>
      <c r="V42" s="958">
        <v>80803.50827931588</v>
      </c>
      <c r="W42" s="958">
        <v>80779.020605521888</v>
      </c>
      <c r="X42" s="958">
        <v>85994.871148649385</v>
      </c>
      <c r="Y42" s="958">
        <v>83384.625394609437</v>
      </c>
      <c r="Z42" s="958">
        <v>83202.937688103164</v>
      </c>
      <c r="AA42" s="958">
        <v>80948.384240534971</v>
      </c>
      <c r="AB42" s="959">
        <v>85021.134352695328</v>
      </c>
      <c r="AC42" s="960">
        <v>990718.15731503209</v>
      </c>
      <c r="AD42" s="944">
        <v>160576.94808866337</v>
      </c>
      <c r="AE42" s="959">
        <v>155647.06886582225</v>
      </c>
      <c r="AF42" s="959">
        <v>166287.23803498413</v>
      </c>
      <c r="AG42" s="959">
        <v>156182.95618496393</v>
      </c>
      <c r="AH42" s="959">
        <v>161298.08648976844</v>
      </c>
      <c r="AI42" s="959">
        <v>156969.28802489463</v>
      </c>
      <c r="AJ42" s="959">
        <v>156931.36072806764</v>
      </c>
      <c r="AK42" s="959">
        <v>167390.2062327344</v>
      </c>
      <c r="AL42" s="959">
        <v>162155.40327868552</v>
      </c>
      <c r="AM42" s="959">
        <v>161882.19248391435</v>
      </c>
      <c r="AN42" s="959">
        <v>157179.92141450441</v>
      </c>
      <c r="AO42" s="959">
        <v>165928.06340455572</v>
      </c>
      <c r="AP42" s="943">
        <v>1928428.7332315589</v>
      </c>
      <c r="AQ42" s="944">
        <v>174412.98036471003</v>
      </c>
      <c r="AR42" s="959">
        <v>169220.34335092516</v>
      </c>
      <c r="AS42" s="959">
        <v>180349.30312697231</v>
      </c>
      <c r="AT42" s="959">
        <v>169730.98353105233</v>
      </c>
      <c r="AU42" s="959">
        <v>175098.87238539939</v>
      </c>
      <c r="AV42" s="959">
        <v>170480.60299422394</v>
      </c>
      <c r="AW42" s="959">
        <v>170443.27764961432</v>
      </c>
      <c r="AX42" s="959">
        <v>181398.05566351124</v>
      </c>
      <c r="AY42" s="959">
        <v>175913.87724787078</v>
      </c>
      <c r="AZ42" s="959">
        <v>175651.85822024438</v>
      </c>
      <c r="BA42" s="959">
        <v>170676.38355653809</v>
      </c>
      <c r="BB42" s="959">
        <v>179997.62002923666</v>
      </c>
      <c r="BC42" s="932">
        <v>2093374.1581202978</v>
      </c>
      <c r="BD42" s="944">
        <v>267817.68757714715</v>
      </c>
      <c r="BE42" s="959">
        <v>259864.5411024692</v>
      </c>
      <c r="BF42" s="959">
        <v>276906.10364318814</v>
      </c>
      <c r="BG42" s="959">
        <v>260644.01560652594</v>
      </c>
      <c r="BH42" s="959">
        <v>268862.90248236293</v>
      </c>
      <c r="BI42" s="959">
        <v>261788.74990692074</v>
      </c>
      <c r="BJ42" s="959">
        <v>261730.11959163274</v>
      </c>
      <c r="BK42" s="959">
        <v>278503.84385791561</v>
      </c>
      <c r="BL42" s="959">
        <v>270104.29634360073</v>
      </c>
      <c r="BM42" s="959">
        <v>269701.98769962561</v>
      </c>
      <c r="BN42" s="959">
        <v>262080.71940984388</v>
      </c>
      <c r="BO42" s="959">
        <v>276356.10435764835</v>
      </c>
      <c r="BP42" s="943">
        <v>3214361.0715788808</v>
      </c>
    </row>
    <row r="43" spans="2:68">
      <c r="B43" s="303" t="s">
        <v>1166</v>
      </c>
      <c r="C43" s="279"/>
      <c r="D43" s="961">
        <v>-20474.340683007937</v>
      </c>
      <c r="E43" s="961">
        <v>-20474.340683007937</v>
      </c>
      <c r="F43" s="961">
        <v>-42421.081999280163</v>
      </c>
      <c r="G43" s="961">
        <v>-36319.120292295622</v>
      </c>
      <c r="H43" s="961">
        <v>-33649.000669678098</v>
      </c>
      <c r="I43" s="961">
        <v>-24818.022211570169</v>
      </c>
      <c r="J43" s="961">
        <v>-16749.000097033742</v>
      </c>
      <c r="K43" s="961">
        <v>-8464.3649045263373</v>
      </c>
      <c r="L43" s="961">
        <v>94.211615624531987</v>
      </c>
      <c r="M43" s="961">
        <v>2321.2545459592584</v>
      </c>
      <c r="N43" s="961">
        <v>9228.987875279061</v>
      </c>
      <c r="O43" s="962">
        <v>7412.4965742699787</v>
      </c>
      <c r="P43" s="943">
        <v>-184312.32092926721</v>
      </c>
      <c r="Q43" s="971">
        <v>-25056.978732985612</v>
      </c>
      <c r="R43" s="963">
        <v>628.70773912689765</v>
      </c>
      <c r="S43" s="963">
        <v>22753.930877965278</v>
      </c>
      <c r="T43" s="963">
        <v>37256.133741807309</v>
      </c>
      <c r="U43" s="963">
        <v>41206.000469566483</v>
      </c>
      <c r="V43" s="963">
        <v>42426.621805489951</v>
      </c>
      <c r="W43" s="963">
        <v>45302.638765149575</v>
      </c>
      <c r="X43" s="963">
        <v>26007.394037001155</v>
      </c>
      <c r="Y43" s="963">
        <v>18902.10922387852</v>
      </c>
      <c r="Z43" s="963">
        <v>21519.195373682131</v>
      </c>
      <c r="AA43" s="963">
        <v>21338.350377952986</v>
      </c>
      <c r="AB43" s="962">
        <v>14830.201822495292</v>
      </c>
      <c r="AC43" s="943">
        <v>267114.30550113018</v>
      </c>
      <c r="AD43" s="945">
        <v>-58290.213470175411</v>
      </c>
      <c r="AE43" s="962">
        <v>-11289.358249884477</v>
      </c>
      <c r="AF43" s="962">
        <v>15105.410228083027</v>
      </c>
      <c r="AG43" s="962">
        <v>41159.990893668117</v>
      </c>
      <c r="AH43" s="962">
        <v>46884.040282676782</v>
      </c>
      <c r="AI43" s="962">
        <v>49848.719590438151</v>
      </c>
      <c r="AJ43" s="962">
        <v>65791.468306862604</v>
      </c>
      <c r="AK43" s="962">
        <v>66558.062443351548</v>
      </c>
      <c r="AL43" s="962">
        <v>83473.703673259297</v>
      </c>
      <c r="AM43" s="962">
        <v>77342.214514677384</v>
      </c>
      <c r="AN43" s="962">
        <v>61724.467286445608</v>
      </c>
      <c r="AO43" s="962">
        <v>46331.912983217509</v>
      </c>
      <c r="AP43" s="943">
        <v>484640.4184826198</v>
      </c>
      <c r="AQ43" s="945">
        <v>28592.832796811417</v>
      </c>
      <c r="AR43" s="962">
        <v>65122.081544982881</v>
      </c>
      <c r="AS43" s="962">
        <v>68375.800219466764</v>
      </c>
      <c r="AT43" s="962">
        <v>69347.799871660856</v>
      </c>
      <c r="AU43" s="962">
        <v>63979.911017313803</v>
      </c>
      <c r="AV43" s="962">
        <v>62905.828422710358</v>
      </c>
      <c r="AW43" s="962">
        <v>62943.153767319978</v>
      </c>
      <c r="AX43" s="962">
        <v>46296.023767644161</v>
      </c>
      <c r="AY43" s="962">
        <v>63164.906154842407</v>
      </c>
      <c r="AZ43" s="962">
        <v>69119.277168247703</v>
      </c>
      <c r="BA43" s="962">
        <v>68402.399846175103</v>
      </c>
      <c r="BB43" s="962">
        <v>53388.811387697642</v>
      </c>
      <c r="BC43" s="943">
        <v>721638.82596487412</v>
      </c>
      <c r="BD43" s="945">
        <v>-28738.904174433963</v>
      </c>
      <c r="BE43" s="962">
        <v>53651.929717821011</v>
      </c>
      <c r="BF43" s="962">
        <v>95186.551693458576</v>
      </c>
      <c r="BG43" s="962">
        <v>122823.38619223982</v>
      </c>
      <c r="BH43" s="962">
        <v>112305.1834722507</v>
      </c>
      <c r="BI43" s="962">
        <v>110303.90542972597</v>
      </c>
      <c r="BJ43" s="962">
        <v>110362.53574501397</v>
      </c>
      <c r="BK43" s="962">
        <v>84513.380860764068</v>
      </c>
      <c r="BL43" s="962">
        <v>111063.78961101291</v>
      </c>
      <c r="BM43" s="962">
        <v>120541.52887295507</v>
      </c>
      <c r="BN43" s="962">
        <v>119087.36654476981</v>
      </c>
      <c r="BO43" s="962">
        <v>95736.550978998363</v>
      </c>
      <c r="BP43" s="943">
        <v>1106837.2049445761</v>
      </c>
    </row>
    <row r="44" spans="2:68" ht="15" thickBot="1">
      <c r="B44" s="325" t="s">
        <v>1167</v>
      </c>
      <c r="C44" s="280"/>
      <c r="D44" s="936">
        <v>-20474.340683007937</v>
      </c>
      <c r="E44" s="919">
        <v>-40948.681366015873</v>
      </c>
      <c r="F44" s="919">
        <v>-83369.763365296036</v>
      </c>
      <c r="G44" s="919">
        <v>-119688.88365759165</v>
      </c>
      <c r="H44" s="919">
        <v>-153337.88432726974</v>
      </c>
      <c r="I44" s="919">
        <v>-178155.90653883992</v>
      </c>
      <c r="J44" s="919">
        <v>-194904.90663587366</v>
      </c>
      <c r="K44" s="919">
        <v>-203369.27154039999</v>
      </c>
      <c r="L44" s="919">
        <v>-203275.05992477544</v>
      </c>
      <c r="M44" s="919">
        <v>-200953.80537881618</v>
      </c>
      <c r="N44" s="919">
        <v>-191724.81750353711</v>
      </c>
      <c r="O44" s="940">
        <v>-184312.32092926712</v>
      </c>
      <c r="P44" s="935">
        <v>-184312.32092926721</v>
      </c>
      <c r="Q44" s="972">
        <v>-209369.29966225274</v>
      </c>
      <c r="R44" s="964">
        <v>-208740.59192312584</v>
      </c>
      <c r="S44" s="964">
        <v>-185986.66104516055</v>
      </c>
      <c r="T44" s="964">
        <v>-148730.52730335324</v>
      </c>
      <c r="U44" s="964">
        <v>-107524.52683378676</v>
      </c>
      <c r="V44" s="964">
        <v>-65097.905028296809</v>
      </c>
      <c r="W44" s="964">
        <v>-19795.266263147234</v>
      </c>
      <c r="X44" s="964">
        <v>6212.1277738539211</v>
      </c>
      <c r="Y44" s="964">
        <v>25114.236997732442</v>
      </c>
      <c r="Z44" s="964">
        <v>46633.432371414572</v>
      </c>
      <c r="AA44" s="964">
        <v>67971.782749367558</v>
      </c>
      <c r="AB44" s="940">
        <v>82801.984571862849</v>
      </c>
      <c r="AC44" s="935">
        <v>82801.984571862966</v>
      </c>
      <c r="AD44" s="951">
        <v>24511.771101687555</v>
      </c>
      <c r="AE44" s="940">
        <v>13222.412851803078</v>
      </c>
      <c r="AF44" s="940">
        <v>28327.823079886104</v>
      </c>
      <c r="AG44" s="940">
        <v>69487.813973554221</v>
      </c>
      <c r="AH44" s="940">
        <v>116371.854256231</v>
      </c>
      <c r="AI44" s="940">
        <v>166220.57384666917</v>
      </c>
      <c r="AJ44" s="940">
        <v>232012.04215353177</v>
      </c>
      <c r="AK44" s="940">
        <v>298570.10459688329</v>
      </c>
      <c r="AL44" s="940">
        <v>382043.80827014259</v>
      </c>
      <c r="AM44" s="940">
        <v>459386.02278481994</v>
      </c>
      <c r="AN44" s="940">
        <v>521110.49007126555</v>
      </c>
      <c r="AO44" s="940">
        <v>567442.403054483</v>
      </c>
      <c r="AP44" s="935">
        <v>567442.40305448277</v>
      </c>
      <c r="AQ44" s="951">
        <v>596035.23585129413</v>
      </c>
      <c r="AR44" s="940">
        <v>661157.31739627698</v>
      </c>
      <c r="AS44" s="940">
        <v>729533.11761574377</v>
      </c>
      <c r="AT44" s="940">
        <v>798880.91748740466</v>
      </c>
      <c r="AU44" s="940">
        <v>862860.82850471849</v>
      </c>
      <c r="AV44" s="940">
        <v>925766.65692742891</v>
      </c>
      <c r="AW44" s="940">
        <v>988709.81069474888</v>
      </c>
      <c r="AX44" s="940">
        <v>1035005.8344623931</v>
      </c>
      <c r="AY44" s="940">
        <v>1098170.7406172354</v>
      </c>
      <c r="AZ44" s="940">
        <v>1167290.017785483</v>
      </c>
      <c r="BA44" s="940">
        <v>1235692.4176316583</v>
      </c>
      <c r="BB44" s="940">
        <v>1289081.229019356</v>
      </c>
      <c r="BC44" s="935">
        <v>1289081.2290193569</v>
      </c>
      <c r="BD44" s="951">
        <v>1260342.3248449229</v>
      </c>
      <c r="BE44" s="940">
        <v>1313994.2545627439</v>
      </c>
      <c r="BF44" s="940">
        <v>1409180.8062562025</v>
      </c>
      <c r="BG44" s="940">
        <v>1532004.1924484423</v>
      </c>
      <c r="BH44" s="940">
        <v>1644309.3759206929</v>
      </c>
      <c r="BI44" s="940">
        <v>1754613.2813504189</v>
      </c>
      <c r="BJ44" s="940">
        <v>1864975.8170954329</v>
      </c>
      <c r="BK44" s="940">
        <v>1949489.197956197</v>
      </c>
      <c r="BL44" s="940">
        <v>2060552.9875672099</v>
      </c>
      <c r="BM44" s="940">
        <v>2181094.5164401648</v>
      </c>
      <c r="BN44" s="940">
        <v>2300181.8829849344</v>
      </c>
      <c r="BO44" s="940">
        <v>2395918.4339639326</v>
      </c>
      <c r="BP44" s="935">
        <v>2395918.433963933</v>
      </c>
    </row>
    <row r="45" spans="2:68" ht="15" thickBot="1">
      <c r="B45" s="68"/>
      <c r="C45" s="119"/>
      <c r="D45" s="1295"/>
      <c r="E45" s="1295"/>
      <c r="F45" s="1295"/>
      <c r="G45" s="1295"/>
      <c r="H45" s="1295"/>
      <c r="I45" s="1295"/>
      <c r="J45" s="1295"/>
      <c r="K45" s="1295"/>
      <c r="L45" s="1295"/>
      <c r="M45" s="1295"/>
      <c r="N45" s="1295"/>
      <c r="O45" s="1295"/>
      <c r="P45" s="1295"/>
      <c r="Q45" s="1295"/>
      <c r="R45" s="1295"/>
      <c r="S45" s="1295"/>
      <c r="T45" s="1295"/>
      <c r="U45" s="1295"/>
      <c r="V45" s="1295"/>
      <c r="W45" s="1295"/>
      <c r="X45" s="1295"/>
      <c r="Y45" s="1295"/>
      <c r="Z45" s="1295"/>
      <c r="AA45" s="1295"/>
      <c r="AB45" s="1295"/>
      <c r="AC45" s="1295"/>
      <c r="AD45" s="1295"/>
      <c r="AE45" s="1295"/>
      <c r="AF45" s="1295"/>
      <c r="AG45" s="1295"/>
      <c r="AH45" s="1295"/>
      <c r="AI45" s="1295"/>
      <c r="AJ45" s="1295"/>
      <c r="AK45" s="1295"/>
      <c r="AL45" s="1295"/>
      <c r="AM45" s="1295"/>
      <c r="AN45" s="1295"/>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row>
    <row r="46" spans="2:68" ht="15" thickBot="1">
      <c r="B46" s="484" t="s">
        <v>1168</v>
      </c>
      <c r="C46" s="336">
        <v>-209369.29966225274</v>
      </c>
    </row>
    <row r="47" spans="2:68" ht="15" thickBot="1"/>
    <row r="48" spans="2:68">
      <c r="B48" s="485" t="s">
        <v>1169</v>
      </c>
      <c r="C48" s="524" t="s">
        <v>1170</v>
      </c>
    </row>
    <row r="49" spans="2:3">
      <c r="B49" s="332" t="s">
        <v>1171</v>
      </c>
      <c r="C49" s="333">
        <v>-443197.29243033251</v>
      </c>
    </row>
    <row r="50" spans="2:3">
      <c r="B50" s="332">
        <v>1</v>
      </c>
      <c r="C50" s="333">
        <v>-184312.32092926721</v>
      </c>
    </row>
    <row r="51" spans="2:3">
      <c r="B51" s="332">
        <v>2</v>
      </c>
      <c r="C51" s="333">
        <v>267114.30550113018</v>
      </c>
    </row>
    <row r="52" spans="2:3">
      <c r="B52" s="332">
        <v>3</v>
      </c>
      <c r="C52" s="333">
        <v>484640.4184826198</v>
      </c>
    </row>
    <row r="53" spans="2:3">
      <c r="B53" s="332">
        <v>4</v>
      </c>
      <c r="C53" s="333">
        <v>721638.82596487412</v>
      </c>
    </row>
    <row r="54" spans="2:3" ht="15" thickBot="1">
      <c r="B54" s="334">
        <v>5</v>
      </c>
      <c r="C54" s="335">
        <v>1106837.2049445761</v>
      </c>
    </row>
    <row r="55" spans="2:3" ht="23.45" customHeight="1" thickBot="1">
      <c r="B55" s="493"/>
      <c r="C55" s="494"/>
    </row>
    <row r="56" spans="2:3">
      <c r="B56" s="485" t="s">
        <v>1172</v>
      </c>
      <c r="C56" s="1260">
        <v>0.125</v>
      </c>
    </row>
    <row r="57" spans="2:3">
      <c r="B57" s="483" t="s">
        <v>1173</v>
      </c>
      <c r="C57" s="981">
        <v>1009132.8500586097</v>
      </c>
    </row>
    <row r="58" spans="2:3" ht="15" thickBot="1">
      <c r="B58" s="486" t="s">
        <v>1174</v>
      </c>
      <c r="C58" s="982">
        <v>0.48769225298179153</v>
      </c>
    </row>
  </sheetData>
  <mergeCells count="14">
    <mergeCell ref="B25:B30"/>
    <mergeCell ref="B31:B35"/>
    <mergeCell ref="B37:B40"/>
    <mergeCell ref="BR4:BX5"/>
    <mergeCell ref="BR22:BX22"/>
    <mergeCell ref="B4:B6"/>
    <mergeCell ref="D4:BP5"/>
    <mergeCell ref="D6:P6"/>
    <mergeCell ref="Q6:AC6"/>
    <mergeCell ref="AD6:AP6"/>
    <mergeCell ref="AQ6:BC6"/>
    <mergeCell ref="BD6:BP6"/>
    <mergeCell ref="B16:B17"/>
    <mergeCell ref="B18:B23"/>
  </mergeCells>
  <hyperlinks>
    <hyperlink ref="C2" location="Indice!A1" display="INDICE" xr:uid="{00000000-0004-0000-2100-000000000000}"/>
  </hyperlink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B2:CE57"/>
  <sheetViews>
    <sheetView showGridLines="0" zoomScale="70" zoomScaleNormal="70" workbookViewId="0">
      <selection activeCell="AP58" sqref="AP58"/>
    </sheetView>
  </sheetViews>
  <sheetFormatPr defaultColWidth="11.42578125" defaultRowHeight="14.45"/>
  <cols>
    <col min="2" max="2" width="19.28515625" customWidth="1"/>
    <col min="3" max="3" width="37" bestFit="1" customWidth="1"/>
    <col min="4" max="4" width="12.7109375" hidden="1" customWidth="1"/>
    <col min="5" max="6" width="13.7109375" hidden="1" customWidth="1"/>
    <col min="7" max="15" width="0" hidden="1" customWidth="1"/>
    <col min="16" max="16" width="14.85546875" bestFit="1" customWidth="1"/>
    <col min="17" max="28" width="0" hidden="1" customWidth="1"/>
    <col min="29" max="29" width="14.85546875" bestFit="1" customWidth="1"/>
    <col min="30" max="41" width="0" hidden="1" customWidth="1"/>
    <col min="42" max="42" width="14.85546875" bestFit="1" customWidth="1"/>
    <col min="43" max="54" width="0" hidden="1" customWidth="1"/>
    <col min="55" max="55" width="14.85546875" bestFit="1" customWidth="1"/>
    <col min="56" max="67" width="0" hidden="1" customWidth="1"/>
    <col min="68" max="68" width="16.42578125" bestFit="1" customWidth="1"/>
    <col min="70" max="70" width="39" bestFit="1" customWidth="1"/>
    <col min="71" max="75" width="17.5703125" bestFit="1" customWidth="1"/>
    <col min="76" max="76" width="19.28515625" bestFit="1" customWidth="1"/>
    <col min="78" max="78" width="24.7109375" bestFit="1" customWidth="1"/>
    <col min="79" max="82" width="13.7109375" bestFit="1" customWidth="1"/>
    <col min="83" max="83" width="15.28515625" bestFit="1" customWidth="1"/>
  </cols>
  <sheetData>
    <row r="2" spans="2:83">
      <c r="B2" t="s">
        <v>48</v>
      </c>
      <c r="C2" s="337" t="s">
        <v>49</v>
      </c>
    </row>
    <row r="3" spans="2:83" ht="15" thickBot="1"/>
    <row r="4" spans="2:83" ht="14.45" customHeight="1" thickBot="1">
      <c r="B4" s="1730"/>
      <c r="C4" s="1369"/>
      <c r="D4" s="1732" t="s">
        <v>1138</v>
      </c>
      <c r="E4" s="1733"/>
      <c r="F4" s="1733"/>
      <c r="G4" s="1733"/>
      <c r="H4" s="1733"/>
      <c r="I4" s="1733"/>
      <c r="J4" s="1733"/>
      <c r="K4" s="1733"/>
      <c r="L4" s="1733"/>
      <c r="M4" s="1733"/>
      <c r="N4" s="1733"/>
      <c r="O4" s="1733"/>
      <c r="P4" s="1733"/>
      <c r="Q4" s="1733"/>
      <c r="R4" s="1733"/>
      <c r="S4" s="1733"/>
      <c r="T4" s="1733"/>
      <c r="U4" s="1733"/>
      <c r="V4" s="1733"/>
      <c r="W4" s="1733"/>
      <c r="X4" s="1733"/>
      <c r="Y4" s="1733"/>
      <c r="Z4" s="1733"/>
      <c r="AA4" s="1733"/>
      <c r="AB4" s="1733"/>
      <c r="AC4" s="1733"/>
      <c r="AD4" s="1733"/>
      <c r="AE4" s="1733"/>
      <c r="AF4" s="1733"/>
      <c r="AG4" s="1733"/>
      <c r="AH4" s="1733"/>
      <c r="AI4" s="1733"/>
      <c r="AJ4" s="1733"/>
      <c r="AK4" s="1733"/>
      <c r="AL4" s="1733"/>
      <c r="AM4" s="1733"/>
      <c r="AN4" s="1733"/>
      <c r="AO4" s="1733"/>
      <c r="AP4" s="1733"/>
      <c r="AQ4" s="1733"/>
      <c r="AR4" s="1733"/>
      <c r="AS4" s="1733"/>
      <c r="AT4" s="1733"/>
      <c r="AU4" s="1733"/>
      <c r="AV4" s="1733"/>
      <c r="AW4" s="1733"/>
      <c r="AX4" s="1733"/>
      <c r="AY4" s="1733"/>
      <c r="AZ4" s="1733"/>
      <c r="BA4" s="1733"/>
      <c r="BB4" s="1733"/>
      <c r="BC4" s="1733"/>
      <c r="BD4" s="1733"/>
      <c r="BE4" s="1733"/>
      <c r="BF4" s="1733"/>
      <c r="BG4" s="1733"/>
      <c r="BH4" s="1733"/>
      <c r="BI4" s="1733"/>
      <c r="BJ4" s="1733"/>
      <c r="BK4" s="1733"/>
      <c r="BL4" s="1733"/>
      <c r="BM4" s="1733"/>
      <c r="BN4" s="1733"/>
      <c r="BO4" s="1733"/>
      <c r="BP4" s="1734"/>
      <c r="BR4" s="1755" t="s">
        <v>1175</v>
      </c>
      <c r="BS4" s="1756"/>
      <c r="BT4" s="1756"/>
      <c r="BU4" s="1756"/>
      <c r="BV4" s="1756"/>
      <c r="BW4" s="1756"/>
      <c r="BX4" s="1757"/>
      <c r="BZ4" s="1339" t="s">
        <v>1224</v>
      </c>
      <c r="CA4" s="1339">
        <v>2024</v>
      </c>
      <c r="CB4" s="1340">
        <v>2025</v>
      </c>
      <c r="CC4" s="1339">
        <v>2026</v>
      </c>
      <c r="CD4" s="1339">
        <v>2027</v>
      </c>
      <c r="CE4" s="1339">
        <v>2028</v>
      </c>
    </row>
    <row r="5" spans="2:83" ht="15" customHeight="1" thickBot="1">
      <c r="B5" s="1731"/>
      <c r="C5" s="1370"/>
      <c r="D5" s="1735"/>
      <c r="E5" s="1736"/>
      <c r="F5" s="1736"/>
      <c r="G5" s="1736"/>
      <c r="H5" s="1736"/>
      <c r="I5" s="1736"/>
      <c r="J5" s="1736"/>
      <c r="K5" s="1736"/>
      <c r="L5" s="1736"/>
      <c r="M5" s="1736"/>
      <c r="N5" s="1736"/>
      <c r="O5" s="1736"/>
      <c r="P5" s="1736"/>
      <c r="Q5" s="1736"/>
      <c r="R5" s="1736"/>
      <c r="S5" s="1736"/>
      <c r="T5" s="1736"/>
      <c r="U5" s="1736"/>
      <c r="V5" s="1736"/>
      <c r="W5" s="1736"/>
      <c r="X5" s="1736"/>
      <c r="Y5" s="1736"/>
      <c r="Z5" s="1736"/>
      <c r="AA5" s="1736"/>
      <c r="AB5" s="1736"/>
      <c r="AC5" s="1736"/>
      <c r="AD5" s="1736"/>
      <c r="AE5" s="1736"/>
      <c r="AF5" s="1736"/>
      <c r="AG5" s="1736"/>
      <c r="AH5" s="1736"/>
      <c r="AI5" s="1736"/>
      <c r="AJ5" s="1736"/>
      <c r="AK5" s="1736"/>
      <c r="AL5" s="1736"/>
      <c r="AM5" s="1736"/>
      <c r="AN5" s="1736"/>
      <c r="AO5" s="1736"/>
      <c r="AP5" s="1736"/>
      <c r="AQ5" s="1736"/>
      <c r="AR5" s="1736"/>
      <c r="AS5" s="1736"/>
      <c r="AT5" s="1736"/>
      <c r="AU5" s="1736"/>
      <c r="AV5" s="1736"/>
      <c r="AW5" s="1736"/>
      <c r="AX5" s="1736"/>
      <c r="AY5" s="1736"/>
      <c r="AZ5" s="1736"/>
      <c r="BA5" s="1736"/>
      <c r="BB5" s="1736"/>
      <c r="BC5" s="1736"/>
      <c r="BD5" s="1736"/>
      <c r="BE5" s="1736"/>
      <c r="BF5" s="1736"/>
      <c r="BG5" s="1736"/>
      <c r="BH5" s="1736"/>
      <c r="BI5" s="1736"/>
      <c r="BJ5" s="1736"/>
      <c r="BK5" s="1736"/>
      <c r="BL5" s="1736"/>
      <c r="BM5" s="1736"/>
      <c r="BN5" s="1736"/>
      <c r="BO5" s="1736"/>
      <c r="BP5" s="1737"/>
      <c r="BR5" s="1758"/>
      <c r="BS5" s="1759"/>
      <c r="BT5" s="1759"/>
      <c r="BU5" s="1759"/>
      <c r="BV5" s="1759"/>
      <c r="BW5" s="1759"/>
      <c r="BX5" s="1760"/>
      <c r="BZ5" s="238" t="s">
        <v>1143</v>
      </c>
      <c r="CA5" s="359">
        <v>351355.68480926653</v>
      </c>
      <c r="CB5" s="353">
        <v>1572442.8615499178</v>
      </c>
      <c r="CC5" s="359">
        <v>2637789.0181257543</v>
      </c>
      <c r="CD5" s="359">
        <v>3923587.4132085941</v>
      </c>
      <c r="CE5" s="359">
        <v>5459178.3005905468</v>
      </c>
    </row>
    <row r="6" spans="2:83" ht="15" thickBot="1">
      <c r="B6" s="1731"/>
      <c r="C6" s="1370"/>
      <c r="D6" s="1741">
        <v>2024</v>
      </c>
      <c r="E6" s="1742"/>
      <c r="F6" s="1742"/>
      <c r="G6" s="1742"/>
      <c r="H6" s="1742"/>
      <c r="I6" s="1742"/>
      <c r="J6" s="1742"/>
      <c r="K6" s="1742"/>
      <c r="L6" s="1742"/>
      <c r="M6" s="1742"/>
      <c r="N6" s="1742"/>
      <c r="O6" s="1742"/>
      <c r="P6" s="1743"/>
      <c r="Q6" s="1744">
        <v>2025</v>
      </c>
      <c r="R6" s="1745"/>
      <c r="S6" s="1745"/>
      <c r="T6" s="1745"/>
      <c r="U6" s="1745"/>
      <c r="V6" s="1745"/>
      <c r="W6" s="1745"/>
      <c r="X6" s="1745"/>
      <c r="Y6" s="1745"/>
      <c r="Z6" s="1745"/>
      <c r="AA6" s="1745"/>
      <c r="AB6" s="1745"/>
      <c r="AC6" s="1746"/>
      <c r="AD6" s="1747">
        <v>2026</v>
      </c>
      <c r="AE6" s="1747"/>
      <c r="AF6" s="1747"/>
      <c r="AG6" s="1747"/>
      <c r="AH6" s="1747"/>
      <c r="AI6" s="1747"/>
      <c r="AJ6" s="1747"/>
      <c r="AK6" s="1747"/>
      <c r="AL6" s="1747"/>
      <c r="AM6" s="1747"/>
      <c r="AN6" s="1747"/>
      <c r="AO6" s="1747"/>
      <c r="AP6" s="1748"/>
      <c r="AQ6" s="1744">
        <v>2027</v>
      </c>
      <c r="AR6" s="1745"/>
      <c r="AS6" s="1745"/>
      <c r="AT6" s="1745"/>
      <c r="AU6" s="1745"/>
      <c r="AV6" s="1745"/>
      <c r="AW6" s="1745"/>
      <c r="AX6" s="1745"/>
      <c r="AY6" s="1745"/>
      <c r="AZ6" s="1745"/>
      <c r="BA6" s="1745"/>
      <c r="BB6" s="1745"/>
      <c r="BC6" s="1746"/>
      <c r="BD6" s="1749">
        <v>2028</v>
      </c>
      <c r="BE6" s="1750"/>
      <c r="BF6" s="1750"/>
      <c r="BG6" s="1750"/>
      <c r="BH6" s="1750"/>
      <c r="BI6" s="1750"/>
      <c r="BJ6" s="1750"/>
      <c r="BK6" s="1750"/>
      <c r="BL6" s="1750"/>
      <c r="BM6" s="1750"/>
      <c r="BN6" s="1750"/>
      <c r="BO6" s="1750"/>
      <c r="BP6" s="1751"/>
      <c r="BR6" s="1355" t="s">
        <v>50</v>
      </c>
      <c r="BS6" s="1316" t="s">
        <v>1176</v>
      </c>
      <c r="BT6" s="1316">
        <v>2024</v>
      </c>
      <c r="BU6" s="1316">
        <v>2025</v>
      </c>
      <c r="BV6" s="1316">
        <v>2026</v>
      </c>
      <c r="BW6" s="1316">
        <v>2027</v>
      </c>
      <c r="BX6" s="1317">
        <v>2028</v>
      </c>
      <c r="BZ6" s="237" t="s">
        <v>1225</v>
      </c>
      <c r="CA6" s="360">
        <v>251549.09187305739</v>
      </c>
      <c r="CB6" s="354">
        <v>890045.01750638115</v>
      </c>
      <c r="CC6" s="360">
        <v>1392606.4102096395</v>
      </c>
      <c r="CD6" s="360">
        <v>1955069.4772650057</v>
      </c>
      <c r="CE6" s="360">
        <v>2625566.5439532194</v>
      </c>
    </row>
    <row r="7" spans="2:83" ht="15" thickBot="1">
      <c r="B7" s="304" t="s">
        <v>1139</v>
      </c>
      <c r="C7" s="1136"/>
      <c r="D7" s="1134" t="s">
        <v>53</v>
      </c>
      <c r="E7" s="282" t="s">
        <v>54</v>
      </c>
      <c r="F7" s="282" t="s">
        <v>55</v>
      </c>
      <c r="G7" s="282" t="s">
        <v>56</v>
      </c>
      <c r="H7" s="282" t="s">
        <v>57</v>
      </c>
      <c r="I7" s="282" t="s">
        <v>58</v>
      </c>
      <c r="J7" s="282" t="s">
        <v>59</v>
      </c>
      <c r="K7" s="282" t="s">
        <v>60</v>
      </c>
      <c r="L7" s="282" t="s">
        <v>61</v>
      </c>
      <c r="M7" s="282" t="s">
        <v>62</v>
      </c>
      <c r="N7" s="282" t="s">
        <v>63</v>
      </c>
      <c r="O7" s="283" t="s">
        <v>64</v>
      </c>
      <c r="P7" s="460" t="s">
        <v>1140</v>
      </c>
      <c r="Q7" s="464" t="s">
        <v>53</v>
      </c>
      <c r="R7" s="458" t="s">
        <v>54</v>
      </c>
      <c r="S7" s="458" t="s">
        <v>55</v>
      </c>
      <c r="T7" s="458" t="s">
        <v>56</v>
      </c>
      <c r="U7" s="458" t="s">
        <v>57</v>
      </c>
      <c r="V7" s="458" t="s">
        <v>58</v>
      </c>
      <c r="W7" s="458" t="s">
        <v>59</v>
      </c>
      <c r="X7" s="458" t="s">
        <v>60</v>
      </c>
      <c r="Y7" s="458" t="s">
        <v>61</v>
      </c>
      <c r="Z7" s="458" t="s">
        <v>62</v>
      </c>
      <c r="AA7" s="458" t="s">
        <v>63</v>
      </c>
      <c r="AB7" s="459" t="s">
        <v>64</v>
      </c>
      <c r="AC7" s="460" t="s">
        <v>1140</v>
      </c>
      <c r="AD7" s="278" t="s">
        <v>53</v>
      </c>
      <c r="AE7" s="278" t="s">
        <v>54</v>
      </c>
      <c r="AF7" s="278" t="s">
        <v>55</v>
      </c>
      <c r="AG7" s="278" t="s">
        <v>56</v>
      </c>
      <c r="AH7" s="278" t="s">
        <v>57</v>
      </c>
      <c r="AI7" s="278" t="s">
        <v>58</v>
      </c>
      <c r="AJ7" s="278" t="s">
        <v>59</v>
      </c>
      <c r="AK7" s="278" t="s">
        <v>60</v>
      </c>
      <c r="AL7" s="278" t="s">
        <v>61</v>
      </c>
      <c r="AM7" s="278" t="s">
        <v>62</v>
      </c>
      <c r="AN7" s="278" t="s">
        <v>63</v>
      </c>
      <c r="AO7" s="1374" t="s">
        <v>64</v>
      </c>
      <c r="AP7" s="331" t="s">
        <v>1140</v>
      </c>
      <c r="AQ7" s="278" t="s">
        <v>53</v>
      </c>
      <c r="AR7" s="1375" t="s">
        <v>54</v>
      </c>
      <c r="AS7" s="1375" t="s">
        <v>55</v>
      </c>
      <c r="AT7" s="1375" t="s">
        <v>56</v>
      </c>
      <c r="AU7" s="1375" t="s">
        <v>57</v>
      </c>
      <c r="AV7" s="1375" t="s">
        <v>58</v>
      </c>
      <c r="AW7" s="1375" t="s">
        <v>59</v>
      </c>
      <c r="AX7" s="1375" t="s">
        <v>60</v>
      </c>
      <c r="AY7" s="1375" t="s">
        <v>61</v>
      </c>
      <c r="AZ7" s="1375" t="s">
        <v>62</v>
      </c>
      <c r="BA7" s="1375" t="s">
        <v>63</v>
      </c>
      <c r="BB7" s="977" t="s">
        <v>64</v>
      </c>
      <c r="BC7" s="331" t="s">
        <v>1140</v>
      </c>
      <c r="BD7" s="278" t="s">
        <v>53</v>
      </c>
      <c r="BE7" s="1375" t="s">
        <v>54</v>
      </c>
      <c r="BF7" s="1375" t="s">
        <v>55</v>
      </c>
      <c r="BG7" s="1375" t="s">
        <v>56</v>
      </c>
      <c r="BH7" s="1375" t="s">
        <v>57</v>
      </c>
      <c r="BI7" s="1375" t="s">
        <v>58</v>
      </c>
      <c r="BJ7" s="1375" t="s">
        <v>59</v>
      </c>
      <c r="BK7" s="1375" t="s">
        <v>60</v>
      </c>
      <c r="BL7" s="1375" t="s">
        <v>61</v>
      </c>
      <c r="BM7" s="1375" t="s">
        <v>62</v>
      </c>
      <c r="BN7" s="1375" t="s">
        <v>63</v>
      </c>
      <c r="BO7" s="977" t="s">
        <v>64</v>
      </c>
      <c r="BP7" s="980" t="s">
        <v>1140</v>
      </c>
      <c r="BR7" s="316" t="s">
        <v>1143</v>
      </c>
      <c r="BS7" s="216"/>
      <c r="BT7" s="216">
        <v>351355.68480926653</v>
      </c>
      <c r="BU7" s="216">
        <v>1572442.8615499178</v>
      </c>
      <c r="BV7" s="216">
        <v>2637789.0181257543</v>
      </c>
      <c r="BW7" s="216">
        <v>3923587.4132085941</v>
      </c>
      <c r="BX7" s="288">
        <v>5459178.3005905468</v>
      </c>
      <c r="BZ7" s="366" t="s">
        <v>1226</v>
      </c>
      <c r="CA7" s="361">
        <v>99806.592936209141</v>
      </c>
      <c r="CB7" s="355">
        <v>682397.84404353669</v>
      </c>
      <c r="CC7" s="361">
        <v>1245182.6079161149</v>
      </c>
      <c r="CD7" s="361">
        <v>1968517.9359435884</v>
      </c>
      <c r="CE7" s="361">
        <v>2833611.7566373274</v>
      </c>
    </row>
    <row r="8" spans="2:83">
      <c r="B8" s="303" t="s">
        <v>1141</v>
      </c>
      <c r="C8" s="1137"/>
      <c r="D8" s="416">
        <v>0</v>
      </c>
      <c r="E8" s="188">
        <v>0</v>
      </c>
      <c r="F8" s="188">
        <v>550.54458356127316</v>
      </c>
      <c r="G8" s="188">
        <v>785.35848762530156</v>
      </c>
      <c r="H8" s="188">
        <v>1360.0366885888977</v>
      </c>
      <c r="I8" s="188">
        <v>2424.8507215639388</v>
      </c>
      <c r="J8" s="188">
        <v>3313.8850824416522</v>
      </c>
      <c r="K8" s="188">
        <v>4670.0880093011529</v>
      </c>
      <c r="L8" s="188">
        <v>4760.23302643641</v>
      </c>
      <c r="M8" s="188">
        <v>5154.2551760817478</v>
      </c>
      <c r="N8" s="188">
        <v>5981.4709598851541</v>
      </c>
      <c r="O8" s="284">
        <v>5151.6131907619665</v>
      </c>
      <c r="P8" s="465">
        <v>34152.335926247499</v>
      </c>
      <c r="Q8" s="416">
        <v>9885.3726440701848</v>
      </c>
      <c r="R8" s="188">
        <v>9869.603558336752</v>
      </c>
      <c r="S8" s="188">
        <v>11627.499490914708</v>
      </c>
      <c r="T8" s="188">
        <v>11055.121687234268</v>
      </c>
      <c r="U8" s="188">
        <v>11483.953713773659</v>
      </c>
      <c r="V8" s="188">
        <v>12793.835369683044</v>
      </c>
      <c r="W8" s="188">
        <v>12712.950538008035</v>
      </c>
      <c r="X8" s="188">
        <v>14073.282778705983</v>
      </c>
      <c r="Y8" s="188">
        <v>13385.451910938764</v>
      </c>
      <c r="Z8" s="188">
        <v>12785.322242362925</v>
      </c>
      <c r="AA8" s="188">
        <v>13272.372769174226</v>
      </c>
      <c r="AB8" s="284">
        <v>10856.948818236187</v>
      </c>
      <c r="AC8" s="465">
        <v>143801.71552143872</v>
      </c>
      <c r="AD8" s="330">
        <v>15621.404745369633</v>
      </c>
      <c r="AE8" s="328">
        <v>15592.9696959266</v>
      </c>
      <c r="AF8" s="328">
        <v>18366.160965905932</v>
      </c>
      <c r="AG8" s="328">
        <v>17458.19530919677</v>
      </c>
      <c r="AH8" s="328">
        <v>18131.420878254197</v>
      </c>
      <c r="AI8" s="328">
        <v>20195.125697319592</v>
      </c>
      <c r="AJ8" s="328">
        <v>20063.114800706</v>
      </c>
      <c r="AK8" s="328">
        <v>22205.185439113007</v>
      </c>
      <c r="AL8" s="328">
        <v>21115.423627070664</v>
      </c>
      <c r="AM8" s="328">
        <v>20164.477870329651</v>
      </c>
      <c r="AN8" s="328">
        <v>20928.262644727442</v>
      </c>
      <c r="AO8" s="468">
        <v>17116.006882422651</v>
      </c>
      <c r="AP8" s="329">
        <v>226957.74855634218</v>
      </c>
      <c r="AQ8" s="330">
        <v>21886.334032845331</v>
      </c>
      <c r="AR8" s="328">
        <v>21842.045405797424</v>
      </c>
      <c r="AS8" s="328">
        <v>25721.430260586403</v>
      </c>
      <c r="AT8" s="328">
        <v>24444.944116722851</v>
      </c>
      <c r="AU8" s="328">
        <v>25382.548247797218</v>
      </c>
      <c r="AV8" s="328">
        <v>28265.997786819473</v>
      </c>
      <c r="AW8" s="328">
        <v>28075.738392533262</v>
      </c>
      <c r="AX8" s="328">
        <v>31067.262280222723</v>
      </c>
      <c r="AY8" s="328">
        <v>29536.892516977568</v>
      </c>
      <c r="AZ8" s="328">
        <v>28201.296502819907</v>
      </c>
      <c r="BA8" s="328">
        <v>29263.954847591409</v>
      </c>
      <c r="BB8" s="468">
        <v>23928.787383321367</v>
      </c>
      <c r="BC8" s="329">
        <v>317617.23177403497</v>
      </c>
      <c r="BD8" s="330">
        <v>28680.160506497279</v>
      </c>
      <c r="BE8" s="328">
        <v>28616.83068794923</v>
      </c>
      <c r="BF8" s="328">
        <v>33693.30737495613</v>
      </c>
      <c r="BG8" s="328">
        <v>32015.368109812505</v>
      </c>
      <c r="BH8" s="328">
        <v>33237.335822402711</v>
      </c>
      <c r="BI8" s="328">
        <v>37006.45163818272</v>
      </c>
      <c r="BJ8" s="328">
        <v>36750.821313489832</v>
      </c>
      <c r="BK8" s="328">
        <v>40659.51330203512</v>
      </c>
      <c r="BL8" s="328">
        <v>38649.858580659478</v>
      </c>
      <c r="BM8" s="328">
        <v>36895.778139833667</v>
      </c>
      <c r="BN8" s="328">
        <v>38279.449377766112</v>
      </c>
      <c r="BO8" s="468">
        <v>31295.29032093233</v>
      </c>
      <c r="BP8" s="329">
        <v>415780.16517451714</v>
      </c>
      <c r="BR8" s="316" t="s">
        <v>1177</v>
      </c>
      <c r="BS8" s="216">
        <v>235000</v>
      </c>
      <c r="BT8" s="216"/>
      <c r="BU8" s="216"/>
      <c r="BV8" s="216"/>
      <c r="BW8" s="216"/>
      <c r="BX8" s="288"/>
      <c r="BZ8" s="237" t="s">
        <v>1227</v>
      </c>
      <c r="CA8" s="362">
        <v>64768.420157435467</v>
      </c>
      <c r="CB8" s="300">
        <v>86284.845415974414</v>
      </c>
      <c r="CC8" s="362">
        <v>96148.787714070495</v>
      </c>
      <c r="CD8" s="362">
        <v>100819.58259510175</v>
      </c>
      <c r="CE8" s="362">
        <v>144840.13536271825</v>
      </c>
    </row>
    <row r="9" spans="2:83">
      <c r="B9" s="455" t="s">
        <v>1142</v>
      </c>
      <c r="C9" s="1138"/>
      <c r="D9" s="1135">
        <v>0</v>
      </c>
      <c r="E9" s="456">
        <v>0</v>
      </c>
      <c r="F9" s="456">
        <v>9011.2000000000007</v>
      </c>
      <c r="G9" s="456">
        <v>8192</v>
      </c>
      <c r="H9" s="456">
        <v>8601.6</v>
      </c>
      <c r="I9" s="456">
        <v>8192</v>
      </c>
      <c r="J9" s="456">
        <v>8704</v>
      </c>
      <c r="K9" s="456">
        <v>9574.4</v>
      </c>
      <c r="L9" s="456">
        <v>9139.1999999999989</v>
      </c>
      <c r="M9" s="456">
        <v>9139.1999999999989</v>
      </c>
      <c r="N9" s="456">
        <v>8704</v>
      </c>
      <c r="O9" s="457">
        <v>9574.4</v>
      </c>
      <c r="P9" s="465">
        <v>88832</v>
      </c>
      <c r="Q9" s="416">
        <v>9461.76</v>
      </c>
      <c r="R9" s="188">
        <v>9011.2000000000007</v>
      </c>
      <c r="S9" s="188">
        <v>9912.32</v>
      </c>
      <c r="T9" s="188">
        <v>9011.2000000000007</v>
      </c>
      <c r="U9" s="188">
        <v>9461.76</v>
      </c>
      <c r="V9" s="188">
        <v>9011.2000000000007</v>
      </c>
      <c r="W9" s="188">
        <v>9011.2000000000007</v>
      </c>
      <c r="X9" s="188">
        <v>9912.32</v>
      </c>
      <c r="Y9" s="188">
        <v>9461.76</v>
      </c>
      <c r="Z9" s="188">
        <v>9461.76</v>
      </c>
      <c r="AA9" s="188">
        <v>9011.2000000000007</v>
      </c>
      <c r="AB9" s="284">
        <v>9912.32</v>
      </c>
      <c r="AC9" s="465">
        <v>112639.99999999997</v>
      </c>
      <c r="AD9" s="330">
        <v>18923.52</v>
      </c>
      <c r="AE9" s="328">
        <v>18022.400000000001</v>
      </c>
      <c r="AF9" s="328">
        <v>19824.64</v>
      </c>
      <c r="AG9" s="328">
        <v>18022.400000000001</v>
      </c>
      <c r="AH9" s="328">
        <v>18923.52</v>
      </c>
      <c r="AI9" s="328">
        <v>18022.400000000001</v>
      </c>
      <c r="AJ9" s="328">
        <v>18022.400000000001</v>
      </c>
      <c r="AK9" s="328">
        <v>19824.64</v>
      </c>
      <c r="AL9" s="328">
        <v>18923.52</v>
      </c>
      <c r="AM9" s="328">
        <v>18923.52</v>
      </c>
      <c r="AN9" s="328">
        <v>18022.400000000001</v>
      </c>
      <c r="AO9" s="468">
        <v>19824.64</v>
      </c>
      <c r="AP9" s="329">
        <v>225279.99999999994</v>
      </c>
      <c r="AQ9" s="416">
        <v>29030.400000000001</v>
      </c>
      <c r="AR9" s="188">
        <v>27648</v>
      </c>
      <c r="AS9" s="188">
        <v>30412.799999999999</v>
      </c>
      <c r="AT9" s="188">
        <v>27648</v>
      </c>
      <c r="AU9" s="188">
        <v>29030.400000000001</v>
      </c>
      <c r="AV9" s="188">
        <v>27648</v>
      </c>
      <c r="AW9" s="188">
        <v>28262.400000000001</v>
      </c>
      <c r="AX9" s="188">
        <v>31088.640000000003</v>
      </c>
      <c r="AY9" s="188">
        <v>29675.52</v>
      </c>
      <c r="AZ9" s="188">
        <v>29675.52</v>
      </c>
      <c r="BA9" s="188">
        <v>28262.400000000001</v>
      </c>
      <c r="BB9" s="284">
        <v>31088.640000000003</v>
      </c>
      <c r="BC9" s="329">
        <v>349470.72000000003</v>
      </c>
      <c r="BD9" s="330">
        <v>30643.199999999997</v>
      </c>
      <c r="BE9" s="330">
        <v>29184</v>
      </c>
      <c r="BF9" s="330">
        <v>32102.399999999998</v>
      </c>
      <c r="BG9" s="330">
        <v>29184</v>
      </c>
      <c r="BH9" s="330">
        <v>30643.199999999997</v>
      </c>
      <c r="BI9" s="330">
        <v>29184</v>
      </c>
      <c r="BJ9" s="330">
        <v>29184</v>
      </c>
      <c r="BK9" s="330">
        <v>32102.399999999998</v>
      </c>
      <c r="BL9" s="330">
        <v>30643.199999999997</v>
      </c>
      <c r="BM9" s="330">
        <v>30643.199999999997</v>
      </c>
      <c r="BN9" s="330">
        <v>29184</v>
      </c>
      <c r="BO9" s="979">
        <v>32102.399999999998</v>
      </c>
      <c r="BP9" s="329">
        <v>364800</v>
      </c>
      <c r="BR9" s="316" t="s">
        <v>1178</v>
      </c>
      <c r="BS9" s="216">
        <v>540000</v>
      </c>
      <c r="BT9" s="216"/>
      <c r="BU9" s="216"/>
      <c r="BV9" s="216"/>
      <c r="BW9" s="216"/>
      <c r="BX9" s="288"/>
      <c r="BZ9" s="237" t="s">
        <v>1228</v>
      </c>
      <c r="CA9" s="360">
        <v>229202.50538276727</v>
      </c>
      <c r="CB9" s="354">
        <v>253103.60904137191</v>
      </c>
      <c r="CC9" s="360">
        <v>326065.35482307797</v>
      </c>
      <c r="CD9" s="360">
        <v>364678.12122824515</v>
      </c>
      <c r="CE9" s="360">
        <v>394936.01664610818</v>
      </c>
    </row>
    <row r="10" spans="2:83">
      <c r="B10" s="455" t="s">
        <v>678</v>
      </c>
      <c r="C10" s="1138"/>
      <c r="D10" s="1135">
        <v>0</v>
      </c>
      <c r="E10" s="456">
        <v>0</v>
      </c>
      <c r="F10" s="456">
        <v>8460.6554164387271</v>
      </c>
      <c r="G10" s="456">
        <v>15867.296928813426</v>
      </c>
      <c r="H10" s="456">
        <v>23108.860240224531</v>
      </c>
      <c r="I10" s="456">
        <v>28876.00951866059</v>
      </c>
      <c r="J10" s="456">
        <v>34266.124436218939</v>
      </c>
      <c r="K10" s="456">
        <v>39170.43642691779</v>
      </c>
      <c r="L10" s="456">
        <v>43549.40340048138</v>
      </c>
      <c r="M10" s="456">
        <v>47534.348224399633</v>
      </c>
      <c r="N10" s="456">
        <v>50256.877264514478</v>
      </c>
      <c r="O10" s="457">
        <v>54679.664073752509</v>
      </c>
      <c r="P10" s="466">
        <v>54679.664073752509</v>
      </c>
      <c r="Q10" s="416">
        <v>54256.051429682324</v>
      </c>
      <c r="R10" s="416">
        <v>53397.647871345573</v>
      </c>
      <c r="S10" s="416">
        <v>51682.468380430866</v>
      </c>
      <c r="T10" s="416">
        <v>49638.5466931966</v>
      </c>
      <c r="U10" s="416">
        <v>47616.35297942294</v>
      </c>
      <c r="V10" s="416">
        <v>43833.717609739899</v>
      </c>
      <c r="W10" s="416">
        <v>40131.967071731866</v>
      </c>
      <c r="X10" s="416">
        <v>35971.004293025879</v>
      </c>
      <c r="Y10" s="416">
        <v>32047.312382087115</v>
      </c>
      <c r="Z10" s="416">
        <v>28723.75013972419</v>
      </c>
      <c r="AA10" s="416">
        <v>24462.577370549967</v>
      </c>
      <c r="AB10" s="467">
        <v>23517.948552313777</v>
      </c>
      <c r="AC10" s="465">
        <v>23517.948552313777</v>
      </c>
      <c r="AD10" s="330">
        <v>26820.063806944145</v>
      </c>
      <c r="AE10" s="328">
        <v>29249.494111017546</v>
      </c>
      <c r="AF10" s="328">
        <v>30707.973145111613</v>
      </c>
      <c r="AG10" s="328">
        <v>31272.177835914845</v>
      </c>
      <c r="AH10" s="328">
        <v>32064.276957660648</v>
      </c>
      <c r="AI10" s="328">
        <v>29891.551260341057</v>
      </c>
      <c r="AJ10" s="328">
        <v>27850.836459635058</v>
      </c>
      <c r="AK10" s="328">
        <v>25470.291020522051</v>
      </c>
      <c r="AL10" s="328">
        <v>23278.387393451387</v>
      </c>
      <c r="AM10" s="328">
        <v>22037.429523121737</v>
      </c>
      <c r="AN10" s="328">
        <v>19131.566878394297</v>
      </c>
      <c r="AO10" s="468">
        <v>21840.199995971645</v>
      </c>
      <c r="AP10" s="329">
        <v>21840.199995971645</v>
      </c>
      <c r="AQ10" s="416">
        <v>28984.265963126316</v>
      </c>
      <c r="AR10" s="188">
        <v>34790.220557328896</v>
      </c>
      <c r="AS10" s="188">
        <v>39481.590296742492</v>
      </c>
      <c r="AT10" s="188">
        <v>42684.646180019641</v>
      </c>
      <c r="AU10" s="188">
        <v>46332.497932222424</v>
      </c>
      <c r="AV10" s="188">
        <v>45714.500145402955</v>
      </c>
      <c r="AW10" s="188">
        <v>45901.161752869695</v>
      </c>
      <c r="AX10" s="188">
        <v>45922.539472646975</v>
      </c>
      <c r="AY10" s="188">
        <v>46061.166955669411</v>
      </c>
      <c r="AZ10" s="188">
        <v>47535.390452849504</v>
      </c>
      <c r="BA10" s="188">
        <v>46533.835605258093</v>
      </c>
      <c r="BB10" s="284">
        <v>53693.688221936725</v>
      </c>
      <c r="BC10" s="329">
        <v>53693.688221936725</v>
      </c>
      <c r="BD10" s="330">
        <v>55656.72771543944</v>
      </c>
      <c r="BE10" s="330">
        <v>56223.897027490209</v>
      </c>
      <c r="BF10" s="330">
        <v>54632.989652534074</v>
      </c>
      <c r="BG10" s="330">
        <v>51801.621542721565</v>
      </c>
      <c r="BH10" s="330">
        <v>49207.485720318851</v>
      </c>
      <c r="BI10" s="330">
        <v>41385.034082136131</v>
      </c>
      <c r="BJ10" s="330">
        <v>33818.212768646299</v>
      </c>
      <c r="BK10" s="330">
        <v>25261.099466611176</v>
      </c>
      <c r="BL10" s="330">
        <v>17254.440885951695</v>
      </c>
      <c r="BM10" s="330">
        <v>11001.862746118026</v>
      </c>
      <c r="BN10" s="330">
        <v>1906.413368351914</v>
      </c>
      <c r="BO10" s="979">
        <v>2713.5230474195814</v>
      </c>
      <c r="BP10" s="329">
        <v>2713.5230474195923</v>
      </c>
      <c r="BR10" s="314" t="s">
        <v>1179</v>
      </c>
      <c r="BS10" s="318">
        <v>775000</v>
      </c>
      <c r="BT10" s="318">
        <v>351355.68480926653</v>
      </c>
      <c r="BU10" s="318">
        <v>1572442.8615499178</v>
      </c>
      <c r="BV10" s="318">
        <v>2637789.0181257543</v>
      </c>
      <c r="BW10" s="318">
        <v>3923587.4132085941</v>
      </c>
      <c r="BX10" s="318">
        <v>5459178.3005905468</v>
      </c>
      <c r="BZ10" s="366" t="s">
        <v>1229</v>
      </c>
      <c r="CA10" s="361">
        <v>-194164.33260399359</v>
      </c>
      <c r="CB10" s="355">
        <v>343009.3895861904</v>
      </c>
      <c r="CC10" s="361">
        <v>822968.46537896642</v>
      </c>
      <c r="CD10" s="361">
        <v>1503020.2321202415</v>
      </c>
      <c r="CE10" s="361">
        <v>2293835.604628501</v>
      </c>
    </row>
    <row r="11" spans="2:83" ht="15" thickBot="1">
      <c r="B11" s="455" t="s">
        <v>1143</v>
      </c>
      <c r="C11" s="1138"/>
      <c r="D11" s="946">
        <v>0</v>
      </c>
      <c r="E11" s="947">
        <v>0</v>
      </c>
      <c r="F11" s="947">
        <v>0</v>
      </c>
      <c r="G11" s="947">
        <v>2831.972746943778</v>
      </c>
      <c r="H11" s="947">
        <v>6871.8160220312393</v>
      </c>
      <c r="I11" s="947">
        <v>11035.801371728614</v>
      </c>
      <c r="J11" s="947">
        <v>19469.264280956289</v>
      </c>
      <c r="K11" s="947">
        <v>29519.758951630036</v>
      </c>
      <c r="L11" s="947">
        <v>41069.142960029945</v>
      </c>
      <c r="M11" s="947">
        <v>48509.081672160515</v>
      </c>
      <c r="N11" s="947">
        <v>50999.612434298193</v>
      </c>
      <c r="O11" s="947">
        <v>57281.596942598902</v>
      </c>
      <c r="P11" s="920">
        <v>267588.04738237755</v>
      </c>
      <c r="Q11" s="950">
        <v>57268.006707317596</v>
      </c>
      <c r="R11" s="950">
        <v>80546.912393382838</v>
      </c>
      <c r="S11" s="950">
        <v>108008.34745581381</v>
      </c>
      <c r="T11" s="950">
        <v>117533.25094636617</v>
      </c>
      <c r="U11" s="950">
        <v>124014.95219820205</v>
      </c>
      <c r="V11" s="950">
        <v>123230.13008480583</v>
      </c>
      <c r="W11" s="950">
        <v>132736.37244197069</v>
      </c>
      <c r="X11" s="950">
        <v>139455.78909192974</v>
      </c>
      <c r="Y11" s="950">
        <v>146451.03924507106</v>
      </c>
      <c r="Z11" s="950">
        <v>150127.87293030549</v>
      </c>
      <c r="AA11" s="950">
        <v>143086.07810891926</v>
      </c>
      <c r="AB11" s="950">
        <v>142467.82926323242</v>
      </c>
      <c r="AC11" s="1142">
        <v>1464926.5808673173</v>
      </c>
      <c r="AD11" s="950">
        <v>131924.64132498213</v>
      </c>
      <c r="AE11" s="950">
        <v>150138.2216479044</v>
      </c>
      <c r="AF11" s="950">
        <v>181392.64826306715</v>
      </c>
      <c r="AG11" s="950">
        <v>197342.94707863205</v>
      </c>
      <c r="AH11" s="950">
        <v>208182.12677244522</v>
      </c>
      <c r="AI11" s="950">
        <v>206818.00761533278</v>
      </c>
      <c r="AJ11" s="950">
        <v>222722.82903493024</v>
      </c>
      <c r="AK11" s="950">
        <v>233948.26867608595</v>
      </c>
      <c r="AL11" s="950">
        <v>245629.10695194482</v>
      </c>
      <c r="AM11" s="950">
        <v>251744.27306439955</v>
      </c>
      <c r="AN11" s="950">
        <v>239885.33445493731</v>
      </c>
      <c r="AO11" s="950">
        <v>238797.70649998335</v>
      </c>
      <c r="AP11" s="1142">
        <v>2508526.1113846451</v>
      </c>
      <c r="AQ11" s="950">
        <v>221082.46358555203</v>
      </c>
      <c r="AR11" s="950">
        <v>234647.43091922108</v>
      </c>
      <c r="AS11" s="950">
        <v>270092.58629823203</v>
      </c>
      <c r="AT11" s="950">
        <v>293780.4309462735</v>
      </c>
      <c r="AU11" s="950">
        <v>309857.48785373621</v>
      </c>
      <c r="AV11" s="950">
        <v>307764.35016011074</v>
      </c>
      <c r="AW11" s="950">
        <v>331365.45958582929</v>
      </c>
      <c r="AX11" s="950">
        <v>348000.2103111638</v>
      </c>
      <c r="AY11" s="950">
        <v>365302.49275660201</v>
      </c>
      <c r="AZ11" s="950">
        <v>374327.45324033638</v>
      </c>
      <c r="BA11" s="950">
        <v>356625.53702487063</v>
      </c>
      <c r="BB11" s="950">
        <v>354939.71097851195</v>
      </c>
      <c r="BC11" s="1142">
        <v>3767785.6136604389</v>
      </c>
      <c r="BD11" s="950">
        <v>328550.14308502676</v>
      </c>
      <c r="BE11" s="950">
        <v>336083.20844688104</v>
      </c>
      <c r="BF11" s="950">
        <v>376153.69517033058</v>
      </c>
      <c r="BG11" s="950">
        <v>409064.91231614712</v>
      </c>
      <c r="BH11" s="950">
        <v>431376.24809065857</v>
      </c>
      <c r="BI11" s="950">
        <v>428382.80322016869</v>
      </c>
      <c r="BJ11" s="950">
        <v>461149.17494340485</v>
      </c>
      <c r="BK11" s="950">
        <v>484215.14268182707</v>
      </c>
      <c r="BL11" s="950">
        <v>508197.42543171672</v>
      </c>
      <c r="BM11" s="950">
        <v>520664.57022275537</v>
      </c>
      <c r="BN11" s="950">
        <v>495955.71798826318</v>
      </c>
      <c r="BO11" s="950">
        <v>493523.98837229441</v>
      </c>
      <c r="BP11" s="1142">
        <v>5273317.0299694743</v>
      </c>
      <c r="BR11" s="301" t="s">
        <v>1144</v>
      </c>
      <c r="BS11" s="212"/>
      <c r="BT11" s="212">
        <v>463691.03361690673</v>
      </c>
      <c r="BU11" s="212">
        <v>600900.81843472784</v>
      </c>
      <c r="BV11" s="212">
        <v>1228241.2728805838</v>
      </c>
      <c r="BW11" s="212">
        <v>1947254.6072912584</v>
      </c>
      <c r="BX11" s="286">
        <v>2077388.2496253985</v>
      </c>
      <c r="BZ11" s="237" t="s">
        <v>1094</v>
      </c>
      <c r="CA11" s="362">
        <v>20878.162111388196</v>
      </c>
      <c r="CB11" s="300">
        <v>20878.162111388196</v>
      </c>
      <c r="CC11" s="362">
        <v>33260.836398058593</v>
      </c>
      <c r="CD11" s="362">
        <v>33260.836398058593</v>
      </c>
      <c r="CE11" s="362">
        <v>33732.996008009664</v>
      </c>
    </row>
    <row r="12" spans="2:83" ht="15" thickBot="1">
      <c r="B12" s="1145"/>
      <c r="C12" s="1145"/>
      <c r="D12" s="1146"/>
      <c r="E12" s="1147"/>
      <c r="F12" s="1147"/>
      <c r="G12" s="1147"/>
      <c r="H12" s="1147"/>
      <c r="I12" s="1147"/>
      <c r="J12" s="1147"/>
      <c r="K12" s="1147"/>
      <c r="L12" s="1147"/>
      <c r="M12" s="1147"/>
      <c r="N12" s="1147"/>
      <c r="O12" s="1148"/>
      <c r="P12" s="1149"/>
      <c r="Q12" s="1150"/>
      <c r="R12" s="1151"/>
      <c r="S12" s="1151"/>
      <c r="T12" s="1151"/>
      <c r="U12" s="1151"/>
      <c r="V12" s="1151"/>
      <c r="W12" s="1151"/>
      <c r="X12" s="1151"/>
      <c r="Y12" s="1151"/>
      <c r="Z12" s="1151"/>
      <c r="AA12" s="1151"/>
      <c r="AB12" s="1152"/>
      <c r="AC12" s="1153"/>
      <c r="AD12" s="1150"/>
      <c r="AE12" s="1150"/>
      <c r="AF12" s="1150"/>
      <c r="AG12" s="1150"/>
      <c r="AH12" s="1150"/>
      <c r="AI12" s="1150"/>
      <c r="AJ12" s="1150"/>
      <c r="AK12" s="1150"/>
      <c r="AL12" s="1150"/>
      <c r="AM12" s="1150"/>
      <c r="AN12" s="1150"/>
      <c r="AO12" s="1154"/>
      <c r="AP12" s="1153"/>
      <c r="AQ12" s="1150"/>
      <c r="AR12" s="1151"/>
      <c r="AS12" s="1151"/>
      <c r="AT12" s="1151"/>
      <c r="AU12" s="1151"/>
      <c r="AV12" s="1151"/>
      <c r="AW12" s="1151"/>
      <c r="AX12" s="1151"/>
      <c r="AY12" s="1151"/>
      <c r="AZ12" s="1151"/>
      <c r="BA12" s="1151"/>
      <c r="BB12" s="1152"/>
      <c r="BC12" s="1153"/>
      <c r="BD12" s="1150"/>
      <c r="BE12" s="1151"/>
      <c r="BF12" s="1151"/>
      <c r="BG12" s="1151"/>
      <c r="BH12" s="1151"/>
      <c r="BI12" s="1151"/>
      <c r="BJ12" s="1151"/>
      <c r="BK12" s="1151"/>
      <c r="BL12" s="1151"/>
      <c r="BM12" s="1151"/>
      <c r="BN12" s="1151"/>
      <c r="BO12" s="1152"/>
      <c r="BP12" s="1149"/>
      <c r="BR12" s="301" t="s">
        <v>1145</v>
      </c>
      <c r="BS12" s="212"/>
      <c r="BT12" s="212">
        <v>37317.262955417958</v>
      </c>
      <c r="BU12" s="212">
        <v>38138.242740437156</v>
      </c>
      <c r="BV12" s="212">
        <v>77954.568161453542</v>
      </c>
      <c r="BW12" s="212">
        <v>119504.35299150829</v>
      </c>
      <c r="BX12" s="286">
        <v>122133.44875732149</v>
      </c>
      <c r="BZ12" s="366" t="s">
        <v>1230</v>
      </c>
      <c r="CA12" s="361">
        <v>-215042.49471538179</v>
      </c>
      <c r="CB12" s="355">
        <v>322131.22747480223</v>
      </c>
      <c r="CC12" s="361">
        <v>789707.62898090784</v>
      </c>
      <c r="CD12" s="361">
        <v>1469759.3957221829</v>
      </c>
      <c r="CE12" s="361">
        <v>2260102.6086204913</v>
      </c>
    </row>
    <row r="13" spans="2:83" ht="15" thickBot="1">
      <c r="B13" s="1119" t="s">
        <v>1144</v>
      </c>
      <c r="C13" s="312"/>
      <c r="D13" s="1122">
        <v>0</v>
      </c>
      <c r="E13" s="926">
        <v>0</v>
      </c>
      <c r="F13" s="926">
        <v>47037.246061426857</v>
      </c>
      <c r="G13" s="926">
        <v>42761.132783115318</v>
      </c>
      <c r="H13" s="926">
        <v>44899.189422271083</v>
      </c>
      <c r="I13" s="926">
        <v>42761.132783115318</v>
      </c>
      <c r="J13" s="926">
        <v>45433.703582060029</v>
      </c>
      <c r="K13" s="926">
        <v>49977.073940266026</v>
      </c>
      <c r="L13" s="926">
        <v>47705.38876116302</v>
      </c>
      <c r="M13" s="926">
        <v>47705.38876116302</v>
      </c>
      <c r="N13" s="926">
        <v>45433.703582060029</v>
      </c>
      <c r="O13" s="1123">
        <v>49977.073940266026</v>
      </c>
      <c r="P13" s="927">
        <v>463691.03361690673</v>
      </c>
      <c r="Q13" s="926">
        <v>50475.66874851715</v>
      </c>
      <c r="R13" s="926">
        <v>48072.065474778239</v>
      </c>
      <c r="S13" s="926">
        <v>52879.27202225606</v>
      </c>
      <c r="T13" s="926">
        <v>48072.065474778239</v>
      </c>
      <c r="U13" s="926">
        <v>50475.66874851715</v>
      </c>
      <c r="V13" s="926">
        <v>48072.065474778239</v>
      </c>
      <c r="W13" s="926">
        <v>48072.065474778239</v>
      </c>
      <c r="X13" s="926">
        <v>52879.27202225606</v>
      </c>
      <c r="Y13" s="926">
        <v>50475.66874851715</v>
      </c>
      <c r="Z13" s="926">
        <v>50475.66874851715</v>
      </c>
      <c r="AA13" s="926">
        <v>48072.065474778239</v>
      </c>
      <c r="AB13" s="928">
        <v>52879.27202225606</v>
      </c>
      <c r="AC13" s="927">
        <v>600900.81843472796</v>
      </c>
      <c r="AD13" s="926">
        <v>103172.26692196906</v>
      </c>
      <c r="AE13" s="1108">
        <v>98259.301830446726</v>
      </c>
      <c r="AF13" s="1108">
        <v>108085.23201349139</v>
      </c>
      <c r="AG13" s="1108">
        <v>98259.301830446726</v>
      </c>
      <c r="AH13" s="1108">
        <v>103172.26692196906</v>
      </c>
      <c r="AI13" s="1108">
        <v>98259.301830446726</v>
      </c>
      <c r="AJ13" s="1108">
        <v>98259.301830446726</v>
      </c>
      <c r="AK13" s="1108">
        <v>108085.23201349139</v>
      </c>
      <c r="AL13" s="1108">
        <v>103172.26692196906</v>
      </c>
      <c r="AM13" s="1108">
        <v>103172.26692196906</v>
      </c>
      <c r="AN13" s="1108">
        <v>98259.301830446726</v>
      </c>
      <c r="AO13" s="1109">
        <v>108085.23201349139</v>
      </c>
      <c r="AP13" s="927">
        <v>1228241.272880584</v>
      </c>
      <c r="AQ13" s="926">
        <v>161757.7007639099</v>
      </c>
      <c r="AR13" s="1108">
        <v>154054.95310848561</v>
      </c>
      <c r="AS13" s="1108">
        <v>169460.44841933419</v>
      </c>
      <c r="AT13" s="1108">
        <v>154054.95310848561</v>
      </c>
      <c r="AU13" s="1108">
        <v>161757.7007639099</v>
      </c>
      <c r="AV13" s="1108">
        <v>154054.95310848561</v>
      </c>
      <c r="AW13" s="1108">
        <v>157478.39651089642</v>
      </c>
      <c r="AX13" s="1108">
        <v>173226.23616198607</v>
      </c>
      <c r="AY13" s="1108">
        <v>165352.31633644123</v>
      </c>
      <c r="AZ13" s="1108">
        <v>165352.31633644123</v>
      </c>
      <c r="BA13" s="1108">
        <v>157478.39651089642</v>
      </c>
      <c r="BB13" s="1109">
        <v>173226.23616198607</v>
      </c>
      <c r="BC13" s="927">
        <v>1947254.6072912586</v>
      </c>
      <c r="BD13" s="926">
        <v>174500.61296853345</v>
      </c>
      <c r="BE13" s="1108">
        <v>166191.05997003187</v>
      </c>
      <c r="BF13" s="1108">
        <v>182810.16596703505</v>
      </c>
      <c r="BG13" s="1108">
        <v>166191.05997003187</v>
      </c>
      <c r="BH13" s="1108">
        <v>174500.61296853345</v>
      </c>
      <c r="BI13" s="1108">
        <v>166191.05997003187</v>
      </c>
      <c r="BJ13" s="1108">
        <v>166191.05997003187</v>
      </c>
      <c r="BK13" s="1108">
        <v>182810.16596703505</v>
      </c>
      <c r="BL13" s="1108">
        <v>174500.61296853345</v>
      </c>
      <c r="BM13" s="1108">
        <v>174500.61296853345</v>
      </c>
      <c r="BN13" s="1108">
        <v>166191.05997003187</v>
      </c>
      <c r="BO13" s="1109">
        <v>182810.16596703505</v>
      </c>
      <c r="BP13" s="927">
        <v>2077388.2496253985</v>
      </c>
      <c r="BR13" s="301" t="s">
        <v>1146</v>
      </c>
      <c r="BS13" s="212"/>
      <c r="BT13" s="212">
        <v>64768.420157435467</v>
      </c>
      <c r="BU13" s="212">
        <v>86284.845415974414</v>
      </c>
      <c r="BV13" s="212">
        <v>96148.787714070495</v>
      </c>
      <c r="BW13" s="212">
        <v>100819.58259510175</v>
      </c>
      <c r="BX13" s="286">
        <v>144840.13536271825</v>
      </c>
      <c r="BZ13" s="237" t="s">
        <v>1231</v>
      </c>
      <c r="CA13" s="368">
        <v>604964.4</v>
      </c>
      <c r="CB13" s="300">
        <v>60566.879999999983</v>
      </c>
      <c r="CC13" s="362">
        <v>60566.879999999983</v>
      </c>
      <c r="CD13" s="362">
        <v>60566.879999999983</v>
      </c>
      <c r="CE13" s="362">
        <v>0</v>
      </c>
    </row>
    <row r="14" spans="2:83" ht="15" thickBot="1">
      <c r="B14" s="1380" t="s">
        <v>1145</v>
      </c>
      <c r="C14" s="463" t="s">
        <v>675</v>
      </c>
      <c r="D14" s="1143">
        <v>3109.7719129514967</v>
      </c>
      <c r="E14" s="930">
        <v>3109.7719129514967</v>
      </c>
      <c r="F14" s="930">
        <v>3109.7719129514967</v>
      </c>
      <c r="G14" s="930">
        <v>3109.7719129514967</v>
      </c>
      <c r="H14" s="930">
        <v>3109.7719129514967</v>
      </c>
      <c r="I14" s="930">
        <v>3109.7719129514967</v>
      </c>
      <c r="J14" s="930">
        <v>3109.7719129514967</v>
      </c>
      <c r="K14" s="930">
        <v>3109.7719129514967</v>
      </c>
      <c r="L14" s="930">
        <v>3109.7719129514967</v>
      </c>
      <c r="M14" s="930">
        <v>3109.7719129514967</v>
      </c>
      <c r="N14" s="930">
        <v>3109.7719129514967</v>
      </c>
      <c r="O14" s="1144">
        <v>3109.7719129514967</v>
      </c>
      <c r="P14" s="1141">
        <v>37317.262955417951</v>
      </c>
      <c r="Q14" s="930">
        <v>3178.1868950364296</v>
      </c>
      <c r="R14" s="930">
        <v>3178.1868950364296</v>
      </c>
      <c r="S14" s="930">
        <v>3178.1868950364296</v>
      </c>
      <c r="T14" s="930">
        <v>3178.1868950364296</v>
      </c>
      <c r="U14" s="930">
        <v>3178.1868950364296</v>
      </c>
      <c r="V14" s="930">
        <v>3178.1868950364296</v>
      </c>
      <c r="W14" s="930">
        <v>3178.1868950364296</v>
      </c>
      <c r="X14" s="930">
        <v>3178.1868950364296</v>
      </c>
      <c r="Y14" s="930">
        <v>3178.1868950364296</v>
      </c>
      <c r="Z14" s="930">
        <v>3178.1868950364296</v>
      </c>
      <c r="AA14" s="930">
        <v>3178.1868950364296</v>
      </c>
      <c r="AB14" s="978">
        <v>3178.1868950364296</v>
      </c>
      <c r="AC14" s="1141">
        <v>38138.242740437156</v>
      </c>
      <c r="AD14" s="1139">
        <v>6496.2140134544616</v>
      </c>
      <c r="AE14" s="1139">
        <v>6496.2140134544616</v>
      </c>
      <c r="AF14" s="1139">
        <v>6496.2140134544616</v>
      </c>
      <c r="AG14" s="1139">
        <v>6496.2140134544616</v>
      </c>
      <c r="AH14" s="1139">
        <v>6496.2140134544616</v>
      </c>
      <c r="AI14" s="1139">
        <v>6496.2140134544616</v>
      </c>
      <c r="AJ14" s="1139">
        <v>6496.2140134544616</v>
      </c>
      <c r="AK14" s="1139">
        <v>6496.2140134544616</v>
      </c>
      <c r="AL14" s="1139">
        <v>6496.2140134544616</v>
      </c>
      <c r="AM14" s="1139">
        <v>6496.2140134544616</v>
      </c>
      <c r="AN14" s="1139">
        <v>6496.2140134544616</v>
      </c>
      <c r="AO14" s="1140">
        <v>6496.2140134544616</v>
      </c>
      <c r="AP14" s="1141">
        <v>77954.568161453542</v>
      </c>
      <c r="AQ14" s="930">
        <v>9958.6960826256909</v>
      </c>
      <c r="AR14" s="930">
        <v>9958.6960826256909</v>
      </c>
      <c r="AS14" s="930">
        <v>9958.6960826256909</v>
      </c>
      <c r="AT14" s="930">
        <v>9958.6960826256909</v>
      </c>
      <c r="AU14" s="930">
        <v>9958.6960826256909</v>
      </c>
      <c r="AV14" s="930">
        <v>9958.6960826256909</v>
      </c>
      <c r="AW14" s="930">
        <v>9958.6960826256909</v>
      </c>
      <c r="AX14" s="930">
        <v>9958.6960826256909</v>
      </c>
      <c r="AY14" s="930">
        <v>9958.6960826256909</v>
      </c>
      <c r="AZ14" s="930">
        <v>9958.6960826256909</v>
      </c>
      <c r="BA14" s="930">
        <v>9958.6960826256909</v>
      </c>
      <c r="BB14" s="978">
        <v>9958.6960826256909</v>
      </c>
      <c r="BC14" s="1141">
        <v>119504.35299150826</v>
      </c>
      <c r="BD14" s="930">
        <v>10177.787396443457</v>
      </c>
      <c r="BE14" s="930">
        <v>10177.787396443457</v>
      </c>
      <c r="BF14" s="930">
        <v>10177.787396443457</v>
      </c>
      <c r="BG14" s="930">
        <v>10177.787396443457</v>
      </c>
      <c r="BH14" s="930">
        <v>10177.787396443457</v>
      </c>
      <c r="BI14" s="930">
        <v>10177.787396443457</v>
      </c>
      <c r="BJ14" s="930">
        <v>10177.787396443457</v>
      </c>
      <c r="BK14" s="930">
        <v>10177.787396443457</v>
      </c>
      <c r="BL14" s="930">
        <v>10177.787396443457</v>
      </c>
      <c r="BM14" s="930">
        <v>10177.787396443457</v>
      </c>
      <c r="BN14" s="930">
        <v>10177.787396443457</v>
      </c>
      <c r="BO14" s="978">
        <v>10177.787396443457</v>
      </c>
      <c r="BP14" s="1141">
        <v>122133.44875732147</v>
      </c>
      <c r="BR14" s="301" t="s">
        <v>1180</v>
      </c>
      <c r="BS14" s="212"/>
      <c r="BT14" s="212">
        <v>229202.50538276727</v>
      </c>
      <c r="BU14" s="212">
        <v>253103.60904137191</v>
      </c>
      <c r="BV14" s="212">
        <v>326065.35482307797</v>
      </c>
      <c r="BW14" s="212">
        <v>364678.12122824515</v>
      </c>
      <c r="BX14" s="286">
        <v>394936.01664610818</v>
      </c>
      <c r="BZ14" s="237" t="s">
        <v>1232</v>
      </c>
      <c r="CA14" s="363">
        <v>5270.3352721389974</v>
      </c>
      <c r="CB14" s="356">
        <v>23586.642923248768</v>
      </c>
      <c r="CC14" s="363">
        <v>39566.83527188631</v>
      </c>
      <c r="CD14" s="363">
        <v>58853.811198128911</v>
      </c>
      <c r="CE14" s="363">
        <v>81887.674508858196</v>
      </c>
    </row>
    <row r="15" spans="2:83">
      <c r="B15" s="1739" t="s">
        <v>1146</v>
      </c>
      <c r="C15" s="313" t="s">
        <v>676</v>
      </c>
      <c r="D15" s="958">
        <v>1624.4423187882423</v>
      </c>
      <c r="E15" s="931">
        <v>1624.4423187882423</v>
      </c>
      <c r="F15" s="931">
        <v>1624.4423187882423</v>
      </c>
      <c r="G15" s="931">
        <v>1624.4423187882423</v>
      </c>
      <c r="H15" s="931">
        <v>1624.4423187882423</v>
      </c>
      <c r="I15" s="931">
        <v>1624.4423187882423</v>
      </c>
      <c r="J15" s="931">
        <v>1624.4423187882423</v>
      </c>
      <c r="K15" s="931">
        <v>1624.4423187882423</v>
      </c>
      <c r="L15" s="931">
        <v>1624.4423187882423</v>
      </c>
      <c r="M15" s="931">
        <v>1624.4423187882423</v>
      </c>
      <c r="N15" s="931">
        <v>1624.4423187882423</v>
      </c>
      <c r="O15" s="1124">
        <v>1624.4423187882423</v>
      </c>
      <c r="P15" s="932">
        <v>19493.307825458909</v>
      </c>
      <c r="Q15" s="931">
        <v>3320.3600996031673</v>
      </c>
      <c r="R15" s="931">
        <v>3320.3600996031673</v>
      </c>
      <c r="S15" s="931">
        <v>3320.3600996031673</v>
      </c>
      <c r="T15" s="931">
        <v>3320.3600996031673</v>
      </c>
      <c r="U15" s="931">
        <v>3320.3600996031673</v>
      </c>
      <c r="V15" s="931">
        <v>3320.3600996031673</v>
      </c>
      <c r="W15" s="931">
        <v>3320.3600996031673</v>
      </c>
      <c r="X15" s="931">
        <v>3320.3600996031673</v>
      </c>
      <c r="Y15" s="931">
        <v>3320.3600996031673</v>
      </c>
      <c r="Z15" s="931">
        <v>3320.3600996031673</v>
      </c>
      <c r="AA15" s="931">
        <v>3320.3600996031673</v>
      </c>
      <c r="AB15" s="944">
        <v>3320.3600996031673</v>
      </c>
      <c r="AC15" s="932">
        <v>39844.321195238008</v>
      </c>
      <c r="AD15" s="933">
        <v>3393.408021794437</v>
      </c>
      <c r="AE15" s="933">
        <v>3393.408021794437</v>
      </c>
      <c r="AF15" s="933">
        <v>3393.408021794437</v>
      </c>
      <c r="AG15" s="933">
        <v>3393.408021794437</v>
      </c>
      <c r="AH15" s="933">
        <v>3393.408021794437</v>
      </c>
      <c r="AI15" s="933">
        <v>3393.408021794437</v>
      </c>
      <c r="AJ15" s="933">
        <v>3393.408021794437</v>
      </c>
      <c r="AK15" s="933">
        <v>3393.408021794437</v>
      </c>
      <c r="AL15" s="933">
        <v>3393.408021794437</v>
      </c>
      <c r="AM15" s="933">
        <v>3393.408021794437</v>
      </c>
      <c r="AN15" s="933">
        <v>3393.408021794437</v>
      </c>
      <c r="AO15" s="973">
        <v>3393.408021794437</v>
      </c>
      <c r="AP15" s="932">
        <v>40720.896261533235</v>
      </c>
      <c r="AQ15" s="931">
        <v>3468.0629982739147</v>
      </c>
      <c r="AR15" s="931">
        <v>3468.0629982739147</v>
      </c>
      <c r="AS15" s="931">
        <v>3468.0629982739147</v>
      </c>
      <c r="AT15" s="931">
        <v>3468.0629982739147</v>
      </c>
      <c r="AU15" s="931">
        <v>3468.0629982739147</v>
      </c>
      <c r="AV15" s="931">
        <v>3468.0629982739147</v>
      </c>
      <c r="AW15" s="931">
        <v>3468.0629982739147</v>
      </c>
      <c r="AX15" s="931">
        <v>3468.0629982739147</v>
      </c>
      <c r="AY15" s="931">
        <v>3468.0629982739147</v>
      </c>
      <c r="AZ15" s="931">
        <v>3468.0629982739147</v>
      </c>
      <c r="BA15" s="931">
        <v>3468.0629982739147</v>
      </c>
      <c r="BB15" s="944">
        <v>3468.0629982739147</v>
      </c>
      <c r="BC15" s="932">
        <v>41616.755979286972</v>
      </c>
      <c r="BD15" s="931">
        <v>5316.5405763539111</v>
      </c>
      <c r="BE15" s="931">
        <v>5316.5405763539111</v>
      </c>
      <c r="BF15" s="931">
        <v>5316.5405763539111</v>
      </c>
      <c r="BG15" s="931">
        <v>5316.5405763539111</v>
      </c>
      <c r="BH15" s="931">
        <v>5316.5405763539111</v>
      </c>
      <c r="BI15" s="931">
        <v>5316.5405763539111</v>
      </c>
      <c r="BJ15" s="931">
        <v>5316.5405763539111</v>
      </c>
      <c r="BK15" s="931">
        <v>5316.5405763539111</v>
      </c>
      <c r="BL15" s="931">
        <v>5316.5405763539111</v>
      </c>
      <c r="BM15" s="931">
        <v>5316.5405763539111</v>
      </c>
      <c r="BN15" s="931">
        <v>5316.5405763539111</v>
      </c>
      <c r="BO15" s="944">
        <v>5316.5405763539111</v>
      </c>
      <c r="BP15" s="932">
        <v>63798.486916246919</v>
      </c>
      <c r="BR15" s="315" t="s">
        <v>1181</v>
      </c>
      <c r="BS15" s="212"/>
      <c r="BT15" s="212">
        <v>0</v>
      </c>
      <c r="BU15" s="212">
        <v>0</v>
      </c>
      <c r="BV15" s="212">
        <v>123437.06702603493</v>
      </c>
      <c r="BW15" s="212">
        <v>0</v>
      </c>
      <c r="BX15" s="286">
        <v>2082.2121270406287</v>
      </c>
      <c r="BZ15" s="366" t="s">
        <v>1233</v>
      </c>
      <c r="CA15" s="361">
        <v>-825277.22998752084</v>
      </c>
      <c r="CB15" s="1254">
        <v>237977.7045515535</v>
      </c>
      <c r="CC15" s="1254">
        <v>689573.91370902152</v>
      </c>
      <c r="CD15" s="1254">
        <v>1350338.7045240542</v>
      </c>
      <c r="CE15" s="1254">
        <v>2178214.9341116333</v>
      </c>
    </row>
    <row r="16" spans="2:83" ht="15" thickBot="1">
      <c r="B16" s="1740"/>
      <c r="C16" s="462" t="s">
        <v>1147</v>
      </c>
      <c r="D16" s="965">
        <v>0</v>
      </c>
      <c r="E16" s="946">
        <v>0</v>
      </c>
      <c r="F16" s="946">
        <v>2099.7032957541546</v>
      </c>
      <c r="G16" s="946">
        <v>1908.8211779583223</v>
      </c>
      <c r="H16" s="946">
        <v>2004.2622368562386</v>
      </c>
      <c r="I16" s="946">
        <v>1908.8211779583223</v>
      </c>
      <c r="J16" s="946">
        <v>2028.1225015807174</v>
      </c>
      <c r="K16" s="946">
        <v>2230.9347517387891</v>
      </c>
      <c r="L16" s="946">
        <v>2129.5286266597532</v>
      </c>
      <c r="M16" s="946">
        <v>2129.5286266597532</v>
      </c>
      <c r="N16" s="946">
        <v>2028.1225015807174</v>
      </c>
      <c r="O16" s="1125">
        <v>2230.9347517387891</v>
      </c>
      <c r="P16" s="920">
        <v>20698.779648485561</v>
      </c>
      <c r="Q16" s="946">
        <v>546.26743870329528</v>
      </c>
      <c r="R16" s="965">
        <v>520.25470352694799</v>
      </c>
      <c r="S16" s="965">
        <v>572.28017387964269</v>
      </c>
      <c r="T16" s="965">
        <v>520.25470352694799</v>
      </c>
      <c r="U16" s="965">
        <v>546.26743870329528</v>
      </c>
      <c r="V16" s="965">
        <v>520.25470352694799</v>
      </c>
      <c r="W16" s="965">
        <v>520.25470352694799</v>
      </c>
      <c r="X16" s="965">
        <v>572.28017387964269</v>
      </c>
      <c r="Y16" s="965">
        <v>546.26743870329528</v>
      </c>
      <c r="Z16" s="965">
        <v>546.26743870329528</v>
      </c>
      <c r="AA16" s="965">
        <v>520.25470352694799</v>
      </c>
      <c r="AB16" s="966">
        <v>572.28017387964269</v>
      </c>
      <c r="AC16" s="920">
        <v>6503.183794086849</v>
      </c>
      <c r="AD16" s="950">
        <v>1371.6359084136843</v>
      </c>
      <c r="AE16" s="950">
        <v>1306.3199127749376</v>
      </c>
      <c r="AF16" s="950">
        <v>1436.9519040524312</v>
      </c>
      <c r="AG16" s="950">
        <v>1306.3199127749376</v>
      </c>
      <c r="AH16" s="950">
        <v>1371.6359084136843</v>
      </c>
      <c r="AI16" s="950">
        <v>1306.3199127749376</v>
      </c>
      <c r="AJ16" s="950">
        <v>1306.3199127749376</v>
      </c>
      <c r="AK16" s="950">
        <v>1436.9519040524312</v>
      </c>
      <c r="AL16" s="950">
        <v>1371.6359084136843</v>
      </c>
      <c r="AM16" s="950">
        <v>1371.6359084136843</v>
      </c>
      <c r="AN16" s="950">
        <v>1306.3199127749376</v>
      </c>
      <c r="AO16" s="967">
        <v>1436.9519040524312</v>
      </c>
      <c r="AP16" s="920">
        <v>16328.998909686719</v>
      </c>
      <c r="AQ16" s="946">
        <v>1770.2503469948265</v>
      </c>
      <c r="AR16" s="965">
        <v>1685.9527114236441</v>
      </c>
      <c r="AS16" s="965">
        <v>1854.5479825660084</v>
      </c>
      <c r="AT16" s="965">
        <v>1685.9527114236441</v>
      </c>
      <c r="AU16" s="965">
        <v>1770.2503469948265</v>
      </c>
      <c r="AV16" s="965">
        <v>1685.9527114236441</v>
      </c>
      <c r="AW16" s="965">
        <v>1723.4183272330586</v>
      </c>
      <c r="AX16" s="965">
        <v>1895.7601599563645</v>
      </c>
      <c r="AY16" s="965">
        <v>1809.5892435947114</v>
      </c>
      <c r="AZ16" s="965">
        <v>1809.5892435947114</v>
      </c>
      <c r="BA16" s="965">
        <v>1723.4183272330586</v>
      </c>
      <c r="BB16" s="966">
        <v>1895.7601599563645</v>
      </c>
      <c r="BC16" s="920">
        <v>21310.442272394863</v>
      </c>
      <c r="BD16" s="946">
        <v>1472.1615999594769</v>
      </c>
      <c r="BE16" s="946">
        <v>1402.0586666280733</v>
      </c>
      <c r="BF16" s="946">
        <v>1542.2645332908805</v>
      </c>
      <c r="BG16" s="946">
        <v>1402.0586666280733</v>
      </c>
      <c r="BH16" s="946">
        <v>1472.1615999594769</v>
      </c>
      <c r="BI16" s="946">
        <v>1402.0586666280733</v>
      </c>
      <c r="BJ16" s="946">
        <v>1402.0586666280733</v>
      </c>
      <c r="BK16" s="946">
        <v>1542.2645332908805</v>
      </c>
      <c r="BL16" s="946">
        <v>1472.1615999594769</v>
      </c>
      <c r="BM16" s="946">
        <v>1472.1615999594769</v>
      </c>
      <c r="BN16" s="946">
        <v>1402.0586666280733</v>
      </c>
      <c r="BO16" s="949">
        <v>1542.2645332908805</v>
      </c>
      <c r="BP16" s="920">
        <v>17525.733332850912</v>
      </c>
      <c r="BR16" s="315" t="s">
        <v>1182</v>
      </c>
      <c r="BS16" s="879"/>
      <c r="BT16" s="879">
        <v>604964.4</v>
      </c>
      <c r="BU16" s="879">
        <v>60566.879999999983</v>
      </c>
      <c r="BV16" s="879">
        <v>60566.879999999983</v>
      </c>
      <c r="BW16" s="879">
        <v>60566.879999999983</v>
      </c>
      <c r="BX16" s="1165">
        <v>0</v>
      </c>
      <c r="BZ16" s="237" t="s">
        <v>1161</v>
      </c>
      <c r="CA16" s="368">
        <v>0</v>
      </c>
      <c r="CB16" s="368">
        <v>0</v>
      </c>
      <c r="CC16" s="368">
        <v>0</v>
      </c>
      <c r="CD16" s="368">
        <v>0</v>
      </c>
      <c r="CE16" s="368">
        <v>0</v>
      </c>
    </row>
    <row r="17" spans="2:83">
      <c r="B17" s="1727" t="s">
        <v>1148</v>
      </c>
      <c r="C17" s="313" t="s">
        <v>1149</v>
      </c>
      <c r="D17" s="958">
        <v>2826.0674625935167</v>
      </c>
      <c r="E17" s="938">
        <v>2826.0674625935167</v>
      </c>
      <c r="F17" s="938">
        <v>2826.0674625935167</v>
      </c>
      <c r="G17" s="938">
        <v>2826.0674625935167</v>
      </c>
      <c r="H17" s="938">
        <v>2826.0674625935167</v>
      </c>
      <c r="I17" s="938">
        <v>2826.0674625935167</v>
      </c>
      <c r="J17" s="938">
        <v>2826.0674625935167</v>
      </c>
      <c r="K17" s="938">
        <v>2826.0674625935167</v>
      </c>
      <c r="L17" s="938">
        <v>2826.0674625935167</v>
      </c>
      <c r="M17" s="938">
        <v>2826.0674625935167</v>
      </c>
      <c r="N17" s="938">
        <v>2826.0674625935167</v>
      </c>
      <c r="O17" s="1126">
        <v>2826.0674625935167</v>
      </c>
      <c r="P17" s="932">
        <v>33912.809551122198</v>
      </c>
      <c r="Q17" s="931">
        <v>2888.2409467705743</v>
      </c>
      <c r="R17" s="938">
        <v>2888.2409467705743</v>
      </c>
      <c r="S17" s="938">
        <v>2888.2409467705743</v>
      </c>
      <c r="T17" s="938">
        <v>2888.2409467705743</v>
      </c>
      <c r="U17" s="938">
        <v>2888.2409467705743</v>
      </c>
      <c r="V17" s="938">
        <v>2888.2409467705743</v>
      </c>
      <c r="W17" s="938">
        <v>2888.2409467705743</v>
      </c>
      <c r="X17" s="938">
        <v>2888.2409467705743</v>
      </c>
      <c r="Y17" s="938">
        <v>2888.2409467705743</v>
      </c>
      <c r="Z17" s="938">
        <v>2888.2409467705743</v>
      </c>
      <c r="AA17" s="938">
        <v>2888.2409467705743</v>
      </c>
      <c r="AB17" s="939">
        <v>2888.2409467705743</v>
      </c>
      <c r="AC17" s="932">
        <v>34658.891361246882</v>
      </c>
      <c r="AD17" s="933">
        <v>2951.7822475995267</v>
      </c>
      <c r="AE17" s="969">
        <v>2951.7822475995267</v>
      </c>
      <c r="AF17" s="969">
        <v>2951.7822475995267</v>
      </c>
      <c r="AG17" s="969">
        <v>2951.7822475995267</v>
      </c>
      <c r="AH17" s="969">
        <v>2951.7822475995267</v>
      </c>
      <c r="AI17" s="969">
        <v>2951.7822475995267</v>
      </c>
      <c r="AJ17" s="969">
        <v>2951.7822475995267</v>
      </c>
      <c r="AK17" s="969">
        <v>2951.7822475995267</v>
      </c>
      <c r="AL17" s="969">
        <v>2951.7822475995267</v>
      </c>
      <c r="AM17" s="969">
        <v>2951.7822475995267</v>
      </c>
      <c r="AN17" s="969">
        <v>2951.7822475995267</v>
      </c>
      <c r="AO17" s="974">
        <v>2951.7822475995267</v>
      </c>
      <c r="AP17" s="932">
        <v>35421.386971194319</v>
      </c>
      <c r="AQ17" s="931">
        <v>3016.7214570467168</v>
      </c>
      <c r="AR17" s="938">
        <v>3016.7214570467168</v>
      </c>
      <c r="AS17" s="938">
        <v>3016.7214570467168</v>
      </c>
      <c r="AT17" s="938">
        <v>3016.7214570467168</v>
      </c>
      <c r="AU17" s="938">
        <v>3016.7214570467168</v>
      </c>
      <c r="AV17" s="938">
        <v>3016.7214570467168</v>
      </c>
      <c r="AW17" s="938">
        <v>3016.7214570467168</v>
      </c>
      <c r="AX17" s="938">
        <v>3016.7214570467168</v>
      </c>
      <c r="AY17" s="938">
        <v>3016.7214570467168</v>
      </c>
      <c r="AZ17" s="938">
        <v>3016.7214570467168</v>
      </c>
      <c r="BA17" s="938">
        <v>3016.7214570467168</v>
      </c>
      <c r="BB17" s="939">
        <v>3016.7214570467168</v>
      </c>
      <c r="BC17" s="932">
        <v>36200.657484560608</v>
      </c>
      <c r="BD17" s="931">
        <v>3083.0893291017446</v>
      </c>
      <c r="BE17" s="938">
        <v>3083.0893291017446</v>
      </c>
      <c r="BF17" s="938">
        <v>3083.0893291017446</v>
      </c>
      <c r="BG17" s="938">
        <v>3083.0893291017446</v>
      </c>
      <c r="BH17" s="938">
        <v>3083.0893291017446</v>
      </c>
      <c r="BI17" s="938">
        <v>3083.0893291017446</v>
      </c>
      <c r="BJ17" s="938">
        <v>3083.0893291017446</v>
      </c>
      <c r="BK17" s="938">
        <v>3083.0893291017446</v>
      </c>
      <c r="BL17" s="938">
        <v>3083.0893291017446</v>
      </c>
      <c r="BM17" s="938">
        <v>3083.0893291017446</v>
      </c>
      <c r="BN17" s="938">
        <v>3083.0893291017446</v>
      </c>
      <c r="BO17" s="939">
        <v>3083.0893291017446</v>
      </c>
      <c r="BP17" s="932">
        <v>36997.071949220939</v>
      </c>
      <c r="BR17" s="301" t="s">
        <v>1161</v>
      </c>
      <c r="BS17" s="879"/>
      <c r="BT17" s="212">
        <v>0</v>
      </c>
      <c r="BU17" s="212">
        <v>0</v>
      </c>
      <c r="BV17" s="212">
        <v>0</v>
      </c>
      <c r="BW17" s="212">
        <v>0</v>
      </c>
      <c r="BX17" s="286">
        <v>0</v>
      </c>
      <c r="BZ17" s="237" t="s">
        <v>1162</v>
      </c>
      <c r="CA17" s="368">
        <v>0</v>
      </c>
      <c r="CB17" s="368">
        <v>69663.21136546605</v>
      </c>
      <c r="CC17" s="368">
        <v>0</v>
      </c>
      <c r="CD17" s="368">
        <v>0</v>
      </c>
      <c r="CE17" s="368">
        <v>0</v>
      </c>
    </row>
    <row r="18" spans="2:83">
      <c r="B18" s="1728"/>
      <c r="C18" s="274" t="s">
        <v>1150</v>
      </c>
      <c r="D18" s="961">
        <v>2597.9988603491274</v>
      </c>
      <c r="E18" s="929">
        <v>2597.9988603491274</v>
      </c>
      <c r="F18" s="929">
        <v>2597.9988603491274</v>
      </c>
      <c r="G18" s="929">
        <v>2597.9988603491274</v>
      </c>
      <c r="H18" s="929">
        <v>2597.9988603491274</v>
      </c>
      <c r="I18" s="929">
        <v>2597.9988603491274</v>
      </c>
      <c r="J18" s="929">
        <v>2597.9988603491274</v>
      </c>
      <c r="K18" s="929">
        <v>2597.9988603491274</v>
      </c>
      <c r="L18" s="929">
        <v>2597.9988603491274</v>
      </c>
      <c r="M18" s="929">
        <v>2597.9988603491274</v>
      </c>
      <c r="N18" s="929">
        <v>2597.9988603491274</v>
      </c>
      <c r="O18" s="1127">
        <v>2597.9988603491274</v>
      </c>
      <c r="P18" s="943">
        <v>31175.986324189536</v>
      </c>
      <c r="Q18" s="941">
        <v>2655.1548352768082</v>
      </c>
      <c r="R18" s="929">
        <v>2655.1548352768082</v>
      </c>
      <c r="S18" s="929">
        <v>2655.1548352768082</v>
      </c>
      <c r="T18" s="929">
        <v>2655.1548352768082</v>
      </c>
      <c r="U18" s="929">
        <v>2655.1548352768082</v>
      </c>
      <c r="V18" s="929">
        <v>2655.1548352768082</v>
      </c>
      <c r="W18" s="929">
        <v>2655.1548352768082</v>
      </c>
      <c r="X18" s="929">
        <v>2655.1548352768082</v>
      </c>
      <c r="Y18" s="929">
        <v>2655.1548352768082</v>
      </c>
      <c r="Z18" s="929">
        <v>2655.1548352768082</v>
      </c>
      <c r="AA18" s="929">
        <v>2655.1548352768082</v>
      </c>
      <c r="AB18" s="942">
        <v>2655.1548352768082</v>
      </c>
      <c r="AC18" s="943">
        <v>31861.858023321696</v>
      </c>
      <c r="AD18" s="921">
        <v>2713.568241652898</v>
      </c>
      <c r="AE18" s="968">
        <v>2713.568241652898</v>
      </c>
      <c r="AF18" s="968">
        <v>2713.568241652898</v>
      </c>
      <c r="AG18" s="968">
        <v>2713.568241652898</v>
      </c>
      <c r="AH18" s="968">
        <v>2713.568241652898</v>
      </c>
      <c r="AI18" s="968">
        <v>2713.568241652898</v>
      </c>
      <c r="AJ18" s="968">
        <v>2713.568241652898</v>
      </c>
      <c r="AK18" s="968">
        <v>2713.568241652898</v>
      </c>
      <c r="AL18" s="968">
        <v>2713.568241652898</v>
      </c>
      <c r="AM18" s="968">
        <v>2713.568241652898</v>
      </c>
      <c r="AN18" s="968">
        <v>2713.568241652898</v>
      </c>
      <c r="AO18" s="975">
        <v>2713.568241652898</v>
      </c>
      <c r="AP18" s="943">
        <v>32562.818899834776</v>
      </c>
      <c r="AQ18" s="941">
        <v>2773.2667429692615</v>
      </c>
      <c r="AR18" s="929">
        <v>2773.2667429692615</v>
      </c>
      <c r="AS18" s="929">
        <v>2773.2667429692615</v>
      </c>
      <c r="AT18" s="929">
        <v>2773.2667429692615</v>
      </c>
      <c r="AU18" s="929">
        <v>2773.2667429692615</v>
      </c>
      <c r="AV18" s="929">
        <v>2773.2667429692615</v>
      </c>
      <c r="AW18" s="929">
        <v>2773.2667429692615</v>
      </c>
      <c r="AX18" s="929">
        <v>2773.2667429692615</v>
      </c>
      <c r="AY18" s="929">
        <v>2773.2667429692615</v>
      </c>
      <c r="AZ18" s="929">
        <v>2773.2667429692615</v>
      </c>
      <c r="BA18" s="929">
        <v>2773.2667429692615</v>
      </c>
      <c r="BB18" s="942">
        <v>2773.2667429692615</v>
      </c>
      <c r="BC18" s="943">
        <v>33279.200915631147</v>
      </c>
      <c r="BD18" s="941">
        <v>2834.2786113145853</v>
      </c>
      <c r="BE18" s="929">
        <v>2834.2786113145853</v>
      </c>
      <c r="BF18" s="929">
        <v>2834.2786113145853</v>
      </c>
      <c r="BG18" s="929">
        <v>2834.2786113145853</v>
      </c>
      <c r="BH18" s="929">
        <v>2834.2786113145853</v>
      </c>
      <c r="BI18" s="929">
        <v>2834.2786113145853</v>
      </c>
      <c r="BJ18" s="929">
        <v>2834.2786113145853</v>
      </c>
      <c r="BK18" s="929">
        <v>2834.2786113145853</v>
      </c>
      <c r="BL18" s="929">
        <v>2834.2786113145853</v>
      </c>
      <c r="BM18" s="929">
        <v>2834.2786113145853</v>
      </c>
      <c r="BN18" s="929">
        <v>2834.2786113145853</v>
      </c>
      <c r="BO18" s="942">
        <v>2834.2786113145853</v>
      </c>
      <c r="BP18" s="943">
        <v>34011.343335775025</v>
      </c>
      <c r="BR18" s="301" t="s">
        <v>1162</v>
      </c>
      <c r="BS18" s="212"/>
      <c r="BT18" s="212">
        <v>0</v>
      </c>
      <c r="BU18" s="212">
        <v>69663.21136546605</v>
      </c>
      <c r="BV18" s="212">
        <v>0</v>
      </c>
      <c r="BW18" s="212">
        <v>0</v>
      </c>
      <c r="BX18" s="286">
        <v>0</v>
      </c>
      <c r="BZ18" s="237" t="s">
        <v>1163</v>
      </c>
      <c r="CA18" s="368">
        <v>0</v>
      </c>
      <c r="CB18" s="368">
        <v>0</v>
      </c>
      <c r="CC18" s="368">
        <v>222311.36979815754</v>
      </c>
      <c r="CD18" s="368">
        <v>453579.04658341897</v>
      </c>
      <c r="CE18" s="368">
        <v>743335.72693907167</v>
      </c>
    </row>
    <row r="19" spans="2:83">
      <c r="B19" s="1728"/>
      <c r="C19" s="274" t="s">
        <v>1151</v>
      </c>
      <c r="D19" s="961">
        <v>0</v>
      </c>
      <c r="E19" s="929">
        <v>0</v>
      </c>
      <c r="F19" s="929">
        <v>0</v>
      </c>
      <c r="G19" s="929">
        <v>0</v>
      </c>
      <c r="H19" s="929">
        <v>0</v>
      </c>
      <c r="I19" s="929">
        <v>0</v>
      </c>
      <c r="J19" s="929">
        <v>0</v>
      </c>
      <c r="K19" s="929">
        <v>0</v>
      </c>
      <c r="L19" s="929">
        <v>0</v>
      </c>
      <c r="M19" s="929">
        <v>0</v>
      </c>
      <c r="N19" s="929">
        <v>0</v>
      </c>
      <c r="O19" s="1127">
        <v>0</v>
      </c>
      <c r="P19" s="943">
        <v>0</v>
      </c>
      <c r="Q19" s="941">
        <v>0</v>
      </c>
      <c r="R19" s="929">
        <v>0</v>
      </c>
      <c r="S19" s="929">
        <v>0</v>
      </c>
      <c r="T19" s="929">
        <v>0</v>
      </c>
      <c r="U19" s="929">
        <v>0</v>
      </c>
      <c r="V19" s="929">
        <v>0</v>
      </c>
      <c r="W19" s="929">
        <v>0</v>
      </c>
      <c r="X19" s="929">
        <v>0</v>
      </c>
      <c r="Y19" s="929">
        <v>0</v>
      </c>
      <c r="Z19" s="929">
        <v>0</v>
      </c>
      <c r="AA19" s="929">
        <v>0</v>
      </c>
      <c r="AB19" s="942">
        <v>0</v>
      </c>
      <c r="AC19" s="943">
        <v>0</v>
      </c>
      <c r="AD19" s="921">
        <v>2713.568241652898</v>
      </c>
      <c r="AE19" s="968">
        <v>2713.568241652898</v>
      </c>
      <c r="AF19" s="968">
        <v>2713.568241652898</v>
      </c>
      <c r="AG19" s="968">
        <v>2713.568241652898</v>
      </c>
      <c r="AH19" s="968">
        <v>2713.568241652898</v>
      </c>
      <c r="AI19" s="968">
        <v>2713.568241652898</v>
      </c>
      <c r="AJ19" s="968">
        <v>2713.568241652898</v>
      </c>
      <c r="AK19" s="968">
        <v>2713.568241652898</v>
      </c>
      <c r="AL19" s="968">
        <v>2713.568241652898</v>
      </c>
      <c r="AM19" s="968">
        <v>2713.568241652898</v>
      </c>
      <c r="AN19" s="968">
        <v>2713.568241652898</v>
      </c>
      <c r="AO19" s="975">
        <v>2713.568241652898</v>
      </c>
      <c r="AP19" s="943">
        <v>32562.818899834776</v>
      </c>
      <c r="AQ19" s="941">
        <v>2773.2667429692615</v>
      </c>
      <c r="AR19" s="929">
        <v>2773.2667429692615</v>
      </c>
      <c r="AS19" s="929">
        <v>2773.2667429692615</v>
      </c>
      <c r="AT19" s="929">
        <v>2773.2667429692615</v>
      </c>
      <c r="AU19" s="929">
        <v>2773.2667429692615</v>
      </c>
      <c r="AV19" s="929">
        <v>2773.2667429692615</v>
      </c>
      <c r="AW19" s="929">
        <v>2773.2667429692615</v>
      </c>
      <c r="AX19" s="929">
        <v>2773.2667429692615</v>
      </c>
      <c r="AY19" s="929">
        <v>2773.2667429692615</v>
      </c>
      <c r="AZ19" s="929">
        <v>2773.2667429692615</v>
      </c>
      <c r="BA19" s="929">
        <v>2773.2667429692615</v>
      </c>
      <c r="BB19" s="942">
        <v>2773.2667429692615</v>
      </c>
      <c r="BC19" s="943">
        <v>33279.200915631147</v>
      </c>
      <c r="BD19" s="941">
        <v>2834.2786113145853</v>
      </c>
      <c r="BE19" s="929">
        <v>2834.2786113145853</v>
      </c>
      <c r="BF19" s="929">
        <v>2834.2786113145853</v>
      </c>
      <c r="BG19" s="929">
        <v>2834.2786113145853</v>
      </c>
      <c r="BH19" s="929">
        <v>2834.2786113145853</v>
      </c>
      <c r="BI19" s="929">
        <v>2834.2786113145853</v>
      </c>
      <c r="BJ19" s="929">
        <v>2834.2786113145853</v>
      </c>
      <c r="BK19" s="929">
        <v>2834.2786113145853</v>
      </c>
      <c r="BL19" s="929">
        <v>2834.2786113145853</v>
      </c>
      <c r="BM19" s="929">
        <v>2834.2786113145853</v>
      </c>
      <c r="BN19" s="929">
        <v>2834.2786113145853</v>
      </c>
      <c r="BO19" s="942">
        <v>2834.2786113145853</v>
      </c>
      <c r="BP19" s="943">
        <v>34011.343335775025</v>
      </c>
      <c r="BR19" s="301" t="s">
        <v>1163</v>
      </c>
      <c r="BS19" s="212"/>
      <c r="BT19" s="212">
        <v>0</v>
      </c>
      <c r="BU19" s="212">
        <v>0</v>
      </c>
      <c r="BV19" s="212">
        <v>222311.36979815754</v>
      </c>
      <c r="BW19" s="212">
        <v>453579.04658341897</v>
      </c>
      <c r="BX19" s="286">
        <v>743335.72693907167</v>
      </c>
      <c r="BZ19" s="366" t="s">
        <v>1234</v>
      </c>
      <c r="CA19" s="364">
        <v>-825277.22998752084</v>
      </c>
      <c r="CB19" s="357">
        <v>168314.49318608746</v>
      </c>
      <c r="CC19" s="364">
        <v>467262.54391086398</v>
      </c>
      <c r="CD19" s="364">
        <v>896759.65794063522</v>
      </c>
      <c r="CE19" s="364">
        <v>1434879.2071725617</v>
      </c>
    </row>
    <row r="20" spans="2:83" ht="15" thickBot="1">
      <c r="B20" s="1728"/>
      <c r="C20" s="274" t="s">
        <v>1152</v>
      </c>
      <c r="D20" s="961">
        <v>0</v>
      </c>
      <c r="E20" s="929">
        <v>0</v>
      </c>
      <c r="F20" s="929">
        <v>0</v>
      </c>
      <c r="G20" s="929">
        <v>0</v>
      </c>
      <c r="H20" s="929">
        <v>0</v>
      </c>
      <c r="I20" s="929">
        <v>0</v>
      </c>
      <c r="J20" s="929">
        <v>0</v>
      </c>
      <c r="K20" s="929">
        <v>0</v>
      </c>
      <c r="L20" s="929">
        <v>0</v>
      </c>
      <c r="M20" s="929">
        <v>0</v>
      </c>
      <c r="N20" s="929">
        <v>0</v>
      </c>
      <c r="O20" s="1127">
        <v>0</v>
      </c>
      <c r="P20" s="943">
        <v>0</v>
      </c>
      <c r="Q20" s="941">
        <v>0</v>
      </c>
      <c r="R20" s="929">
        <v>0</v>
      </c>
      <c r="S20" s="929">
        <v>0</v>
      </c>
      <c r="T20" s="929">
        <v>0</v>
      </c>
      <c r="U20" s="929">
        <v>0</v>
      </c>
      <c r="V20" s="929">
        <v>0</v>
      </c>
      <c r="W20" s="929">
        <v>0</v>
      </c>
      <c r="X20" s="929">
        <v>0</v>
      </c>
      <c r="Y20" s="929">
        <v>0</v>
      </c>
      <c r="Z20" s="929">
        <v>0</v>
      </c>
      <c r="AA20" s="929">
        <v>0</v>
      </c>
      <c r="AB20" s="942">
        <v>0</v>
      </c>
      <c r="AC20" s="943">
        <v>0</v>
      </c>
      <c r="AD20" s="921">
        <v>2713.568241652898</v>
      </c>
      <c r="AE20" s="968">
        <v>2713.568241652898</v>
      </c>
      <c r="AF20" s="968">
        <v>2713.568241652898</v>
      </c>
      <c r="AG20" s="968">
        <v>2713.568241652898</v>
      </c>
      <c r="AH20" s="968">
        <v>2713.568241652898</v>
      </c>
      <c r="AI20" s="968">
        <v>2713.568241652898</v>
      </c>
      <c r="AJ20" s="968">
        <v>2713.568241652898</v>
      </c>
      <c r="AK20" s="968">
        <v>2713.568241652898</v>
      </c>
      <c r="AL20" s="968">
        <v>2713.568241652898</v>
      </c>
      <c r="AM20" s="968">
        <v>2713.568241652898</v>
      </c>
      <c r="AN20" s="968">
        <v>2713.568241652898</v>
      </c>
      <c r="AO20" s="975">
        <v>2713.568241652898</v>
      </c>
      <c r="AP20" s="943">
        <v>32562.818899834776</v>
      </c>
      <c r="AQ20" s="941">
        <v>2773.2667429692615</v>
      </c>
      <c r="AR20" s="929">
        <v>2773.2667429692615</v>
      </c>
      <c r="AS20" s="929">
        <v>2773.2667429692615</v>
      </c>
      <c r="AT20" s="929">
        <v>2773.2667429692615</v>
      </c>
      <c r="AU20" s="929">
        <v>2773.2667429692615</v>
      </c>
      <c r="AV20" s="929">
        <v>2773.2667429692615</v>
      </c>
      <c r="AW20" s="929">
        <v>2773.2667429692615</v>
      </c>
      <c r="AX20" s="929">
        <v>2773.2667429692615</v>
      </c>
      <c r="AY20" s="929">
        <v>2773.2667429692615</v>
      </c>
      <c r="AZ20" s="929">
        <v>2773.2667429692615</v>
      </c>
      <c r="BA20" s="929">
        <v>2773.2667429692615</v>
      </c>
      <c r="BB20" s="942">
        <v>2773.2667429692615</v>
      </c>
      <c r="BC20" s="943">
        <v>33279.200915631147</v>
      </c>
      <c r="BD20" s="941">
        <v>2834.2786113145853</v>
      </c>
      <c r="BE20" s="929">
        <v>2834.2786113145853</v>
      </c>
      <c r="BF20" s="929">
        <v>2834.2786113145853</v>
      </c>
      <c r="BG20" s="929">
        <v>2834.2786113145853</v>
      </c>
      <c r="BH20" s="929">
        <v>2834.2786113145853</v>
      </c>
      <c r="BI20" s="929">
        <v>2834.2786113145853</v>
      </c>
      <c r="BJ20" s="929">
        <v>2834.2786113145853</v>
      </c>
      <c r="BK20" s="929">
        <v>2834.2786113145853</v>
      </c>
      <c r="BL20" s="929">
        <v>2834.2786113145853</v>
      </c>
      <c r="BM20" s="929">
        <v>2834.2786113145853</v>
      </c>
      <c r="BN20" s="929">
        <v>2834.2786113145853</v>
      </c>
      <c r="BO20" s="942">
        <v>2834.2786113145853</v>
      </c>
      <c r="BP20" s="943">
        <v>34011.343335775025</v>
      </c>
      <c r="BR20" s="301" t="s">
        <v>1164</v>
      </c>
      <c r="BS20" s="212"/>
      <c r="BT20" s="212">
        <v>5270.3352721389974</v>
      </c>
      <c r="BU20" s="212">
        <v>23586.642923248768</v>
      </c>
      <c r="BV20" s="212">
        <v>39566.83527188631</v>
      </c>
      <c r="BW20" s="212">
        <v>58853.811198128911</v>
      </c>
      <c r="BX20" s="286">
        <v>81887.674508858196</v>
      </c>
      <c r="BZ20" s="367" t="s">
        <v>679</v>
      </c>
      <c r="CA20" s="365">
        <v>-825277.22998752084</v>
      </c>
      <c r="CB20" s="358">
        <v>-656962.73680143338</v>
      </c>
      <c r="CC20" s="365">
        <v>-189700.19289056939</v>
      </c>
      <c r="CD20" s="365">
        <v>707059.46505006589</v>
      </c>
      <c r="CE20" s="365">
        <v>2141938.6722226273</v>
      </c>
    </row>
    <row r="21" spans="2:83" ht="15" thickBot="1">
      <c r="B21" s="1728"/>
      <c r="C21" s="274" t="s">
        <v>1153</v>
      </c>
      <c r="D21" s="961">
        <v>0</v>
      </c>
      <c r="E21" s="929">
        <v>0</v>
      </c>
      <c r="F21" s="929">
        <v>0</v>
      </c>
      <c r="G21" s="929">
        <v>0</v>
      </c>
      <c r="H21" s="929">
        <v>0</v>
      </c>
      <c r="I21" s="929">
        <v>0</v>
      </c>
      <c r="J21" s="929">
        <v>0</v>
      </c>
      <c r="K21" s="929">
        <v>0</v>
      </c>
      <c r="L21" s="929">
        <v>0</v>
      </c>
      <c r="M21" s="929">
        <v>0</v>
      </c>
      <c r="N21" s="929">
        <v>0</v>
      </c>
      <c r="O21" s="1127">
        <v>0</v>
      </c>
      <c r="P21" s="943">
        <v>0</v>
      </c>
      <c r="Q21" s="941">
        <v>0</v>
      </c>
      <c r="R21" s="929">
        <v>0</v>
      </c>
      <c r="S21" s="929">
        <v>0</v>
      </c>
      <c r="T21" s="929">
        <v>0</v>
      </c>
      <c r="U21" s="929">
        <v>0</v>
      </c>
      <c r="V21" s="929">
        <v>0</v>
      </c>
      <c r="W21" s="929">
        <v>0</v>
      </c>
      <c r="X21" s="929">
        <v>0</v>
      </c>
      <c r="Y21" s="929">
        <v>0</v>
      </c>
      <c r="Z21" s="929">
        <v>0</v>
      </c>
      <c r="AA21" s="929">
        <v>0</v>
      </c>
      <c r="AB21" s="942">
        <v>0</v>
      </c>
      <c r="AC21" s="943">
        <v>0</v>
      </c>
      <c r="AD21" s="921">
        <v>0</v>
      </c>
      <c r="AE21" s="968">
        <v>0</v>
      </c>
      <c r="AF21" s="968">
        <v>0</v>
      </c>
      <c r="AG21" s="968">
        <v>0</v>
      </c>
      <c r="AH21" s="968">
        <v>0</v>
      </c>
      <c r="AI21" s="968">
        <v>0</v>
      </c>
      <c r="AJ21" s="968">
        <v>0</v>
      </c>
      <c r="AK21" s="968">
        <v>0</v>
      </c>
      <c r="AL21" s="968">
        <v>0</v>
      </c>
      <c r="AM21" s="968">
        <v>0</v>
      </c>
      <c r="AN21" s="968">
        <v>0</v>
      </c>
      <c r="AO21" s="975">
        <v>0</v>
      </c>
      <c r="AP21" s="943">
        <v>0</v>
      </c>
      <c r="AQ21" s="941">
        <v>1996.3286554351253</v>
      </c>
      <c r="AR21" s="929">
        <v>1996.3286554351253</v>
      </c>
      <c r="AS21" s="929">
        <v>1996.3286554351253</v>
      </c>
      <c r="AT21" s="929">
        <v>1996.3286554351253</v>
      </c>
      <c r="AU21" s="929">
        <v>1996.3286554351253</v>
      </c>
      <c r="AV21" s="929">
        <v>1996.3286554351253</v>
      </c>
      <c r="AW21" s="929">
        <v>1996.3286554351253</v>
      </c>
      <c r="AX21" s="929">
        <v>1996.3286554351253</v>
      </c>
      <c r="AY21" s="929">
        <v>1996.3286554351253</v>
      </c>
      <c r="AZ21" s="929">
        <v>1996.3286554351253</v>
      </c>
      <c r="BA21" s="929">
        <v>1996.3286554351253</v>
      </c>
      <c r="BB21" s="942">
        <v>1996.3286554351253</v>
      </c>
      <c r="BC21" s="943">
        <v>23955.943865221503</v>
      </c>
      <c r="BD21" s="941">
        <v>2040.2478858546979</v>
      </c>
      <c r="BE21" s="929">
        <v>2040.2478858546979</v>
      </c>
      <c r="BF21" s="929">
        <v>2040.2478858546979</v>
      </c>
      <c r="BG21" s="929">
        <v>2040.2478858546979</v>
      </c>
      <c r="BH21" s="929">
        <v>2040.2478858546979</v>
      </c>
      <c r="BI21" s="929">
        <v>2040.2478858546979</v>
      </c>
      <c r="BJ21" s="929">
        <v>2040.2478858546979</v>
      </c>
      <c r="BK21" s="929">
        <v>2040.2478858546979</v>
      </c>
      <c r="BL21" s="929">
        <v>2040.2478858546979</v>
      </c>
      <c r="BM21" s="929">
        <v>2040.2478858546979</v>
      </c>
      <c r="BN21" s="929">
        <v>2040.2478858546979</v>
      </c>
      <c r="BO21" s="942">
        <v>2040.2478858546979</v>
      </c>
      <c r="BP21" s="943">
        <v>24482.974630256373</v>
      </c>
      <c r="BR21" s="317" t="s">
        <v>1183</v>
      </c>
      <c r="BS21" s="319">
        <v>0</v>
      </c>
      <c r="BT21" s="319">
        <v>1405213.9573846664</v>
      </c>
      <c r="BU21" s="319">
        <v>1132244.2499212262</v>
      </c>
      <c r="BV21" s="319">
        <v>2174292.1356752641</v>
      </c>
      <c r="BW21" s="319">
        <v>3105256.4018876613</v>
      </c>
      <c r="BX21" s="321">
        <v>3566603.4639665163</v>
      </c>
    </row>
    <row r="22" spans="2:83" ht="15" thickBot="1">
      <c r="B22" s="1729"/>
      <c r="C22" s="275" t="s">
        <v>1154</v>
      </c>
      <c r="D22" s="936">
        <v>3877.1662381546139</v>
      </c>
      <c r="E22" s="919">
        <v>3877.1662381546139</v>
      </c>
      <c r="F22" s="919">
        <v>3877.1662381546139</v>
      </c>
      <c r="G22" s="919">
        <v>3877.1662381546139</v>
      </c>
      <c r="H22" s="919">
        <v>3877.1662381546139</v>
      </c>
      <c r="I22" s="919">
        <v>3877.1662381546139</v>
      </c>
      <c r="J22" s="919">
        <v>3877.1662381546139</v>
      </c>
      <c r="K22" s="919">
        <v>3877.1662381546139</v>
      </c>
      <c r="L22" s="919">
        <v>3877.1662381546139</v>
      </c>
      <c r="M22" s="919">
        <v>3877.1662381546139</v>
      </c>
      <c r="N22" s="919">
        <v>3877.1662381546139</v>
      </c>
      <c r="O22" s="964">
        <v>3877.1662381546139</v>
      </c>
      <c r="P22" s="935">
        <v>46525.994857855352</v>
      </c>
      <c r="Q22" s="934">
        <v>3962.4638953940157</v>
      </c>
      <c r="R22" s="919">
        <v>3962.4638953940157</v>
      </c>
      <c r="S22" s="919">
        <v>3962.4638953940157</v>
      </c>
      <c r="T22" s="919">
        <v>3962.4638953940157</v>
      </c>
      <c r="U22" s="919">
        <v>3962.4638953940157</v>
      </c>
      <c r="V22" s="919">
        <v>3962.4638953940157</v>
      </c>
      <c r="W22" s="919">
        <v>3962.4638953940157</v>
      </c>
      <c r="X22" s="919">
        <v>3962.4638953940157</v>
      </c>
      <c r="Y22" s="919">
        <v>3962.4638953940157</v>
      </c>
      <c r="Z22" s="919">
        <v>3962.4638953940157</v>
      </c>
      <c r="AA22" s="919">
        <v>3962.4638953940157</v>
      </c>
      <c r="AB22" s="940">
        <v>3962.4638953940157</v>
      </c>
      <c r="AC22" s="935">
        <v>47549.566744728188</v>
      </c>
      <c r="AD22" s="937">
        <v>4049.6381010926843</v>
      </c>
      <c r="AE22" s="970">
        <v>4049.6381010926843</v>
      </c>
      <c r="AF22" s="970">
        <v>4049.6381010926843</v>
      </c>
      <c r="AG22" s="970">
        <v>4049.6381010926843</v>
      </c>
      <c r="AH22" s="970">
        <v>4049.6381010926843</v>
      </c>
      <c r="AI22" s="970">
        <v>4049.6381010926843</v>
      </c>
      <c r="AJ22" s="970">
        <v>4049.6381010926843</v>
      </c>
      <c r="AK22" s="970">
        <v>4049.6381010926843</v>
      </c>
      <c r="AL22" s="970">
        <v>4049.6381010926843</v>
      </c>
      <c r="AM22" s="970">
        <v>4049.6381010926843</v>
      </c>
      <c r="AN22" s="970">
        <v>4049.6381010926843</v>
      </c>
      <c r="AO22" s="976">
        <v>4049.6381010926843</v>
      </c>
      <c r="AP22" s="935">
        <v>48595.657213112216</v>
      </c>
      <c r="AQ22" s="934">
        <v>4138.7301393167236</v>
      </c>
      <c r="AR22" s="919">
        <v>4138.7301393167236</v>
      </c>
      <c r="AS22" s="919">
        <v>4138.7301393167236</v>
      </c>
      <c r="AT22" s="919">
        <v>4138.7301393167236</v>
      </c>
      <c r="AU22" s="919">
        <v>4138.7301393167236</v>
      </c>
      <c r="AV22" s="919">
        <v>4138.7301393167236</v>
      </c>
      <c r="AW22" s="919">
        <v>4138.7301393167236</v>
      </c>
      <c r="AX22" s="919">
        <v>4138.7301393167236</v>
      </c>
      <c r="AY22" s="919">
        <v>4138.7301393167236</v>
      </c>
      <c r="AZ22" s="919">
        <v>4138.7301393167236</v>
      </c>
      <c r="BA22" s="919">
        <v>4138.7301393167236</v>
      </c>
      <c r="BB22" s="940">
        <v>4138.7301393167236</v>
      </c>
      <c r="BC22" s="935">
        <v>49664.761671800668</v>
      </c>
      <c r="BD22" s="934">
        <v>4229.7822023816916</v>
      </c>
      <c r="BE22" s="919">
        <v>4229.7822023816916</v>
      </c>
      <c r="BF22" s="919">
        <v>4229.7822023816916</v>
      </c>
      <c r="BG22" s="919">
        <v>4229.7822023816916</v>
      </c>
      <c r="BH22" s="919">
        <v>4229.7822023816916</v>
      </c>
      <c r="BI22" s="919">
        <v>4229.7822023816916</v>
      </c>
      <c r="BJ22" s="919">
        <v>4229.7822023816916</v>
      </c>
      <c r="BK22" s="919">
        <v>4229.7822023816916</v>
      </c>
      <c r="BL22" s="919">
        <v>4229.7822023816916</v>
      </c>
      <c r="BM22" s="919">
        <v>4229.7822023816916</v>
      </c>
      <c r="BN22" s="919">
        <v>4229.7822023816916</v>
      </c>
      <c r="BO22" s="940">
        <v>4229.7822023816916</v>
      </c>
      <c r="BP22" s="935">
        <v>50757.386428580299</v>
      </c>
      <c r="BR22" s="1752"/>
      <c r="BS22" s="1753"/>
      <c r="BT22" s="1753"/>
      <c r="BU22" s="1753"/>
      <c r="BV22" s="1753"/>
      <c r="BW22" s="1753"/>
      <c r="BX22" s="1754"/>
    </row>
    <row r="23" spans="2:83" ht="15" thickBot="1">
      <c r="B23" s="1372" t="s">
        <v>608</v>
      </c>
      <c r="C23" s="1110"/>
      <c r="D23" s="1128">
        <v>3591.0224438902742</v>
      </c>
      <c r="E23" s="1112">
        <v>3591.0224438902742</v>
      </c>
      <c r="F23" s="1112">
        <v>3591.0224438902742</v>
      </c>
      <c r="G23" s="1112">
        <v>3591.0224438902742</v>
      </c>
      <c r="H23" s="1112">
        <v>3591.0224438902742</v>
      </c>
      <c r="I23" s="1112">
        <v>3591.0224438902742</v>
      </c>
      <c r="J23" s="1112">
        <v>3591.0224438902742</v>
      </c>
      <c r="K23" s="1112">
        <v>3591.0224438902742</v>
      </c>
      <c r="L23" s="1112">
        <v>3591.0224438902742</v>
      </c>
      <c r="M23" s="1112">
        <v>3591.0224438902742</v>
      </c>
      <c r="N23" s="1112">
        <v>3591.0224438902742</v>
      </c>
      <c r="O23" s="1129">
        <v>3591.0224438902742</v>
      </c>
      <c r="P23" s="1114">
        <v>43092.269326683287</v>
      </c>
      <c r="Q23" s="1111">
        <v>3670.0249376558604</v>
      </c>
      <c r="R23" s="1112">
        <v>3670.0249376558604</v>
      </c>
      <c r="S23" s="1112">
        <v>3670.0249376558604</v>
      </c>
      <c r="T23" s="1112">
        <v>3670.0249376558604</v>
      </c>
      <c r="U23" s="1112">
        <v>3670.0249376558604</v>
      </c>
      <c r="V23" s="1112">
        <v>3670.0249376558604</v>
      </c>
      <c r="W23" s="1112">
        <v>3670.0249376558604</v>
      </c>
      <c r="X23" s="1112">
        <v>3670.0249376558604</v>
      </c>
      <c r="Y23" s="1112">
        <v>3670.0249376558604</v>
      </c>
      <c r="Z23" s="1112">
        <v>3670.0249376558604</v>
      </c>
      <c r="AA23" s="1112">
        <v>3670.0249376558604</v>
      </c>
      <c r="AB23" s="1113">
        <v>3670.0249376558604</v>
      </c>
      <c r="AC23" s="1114">
        <v>44040.29925187034</v>
      </c>
      <c r="AD23" s="1115">
        <v>3750.7654862842892</v>
      </c>
      <c r="AE23" s="1116">
        <v>3750.7654862842892</v>
      </c>
      <c r="AF23" s="1116">
        <v>3750.7654862842892</v>
      </c>
      <c r="AG23" s="1116">
        <v>3750.7654862842892</v>
      </c>
      <c r="AH23" s="1116">
        <v>3750.7654862842892</v>
      </c>
      <c r="AI23" s="1116">
        <v>3750.7654862842892</v>
      </c>
      <c r="AJ23" s="1116">
        <v>3750.7654862842892</v>
      </c>
      <c r="AK23" s="1116">
        <v>3750.7654862842892</v>
      </c>
      <c r="AL23" s="1116">
        <v>3750.7654862842892</v>
      </c>
      <c r="AM23" s="1116">
        <v>3750.7654862842892</v>
      </c>
      <c r="AN23" s="1116">
        <v>3750.7654862842892</v>
      </c>
      <c r="AO23" s="1117">
        <v>3750.7654862842892</v>
      </c>
      <c r="AP23" s="1114">
        <v>45009.185835411474</v>
      </c>
      <c r="AQ23" s="1111">
        <v>3833.282326982544</v>
      </c>
      <c r="AR23" s="1111">
        <v>3833.282326982544</v>
      </c>
      <c r="AS23" s="1111">
        <v>3833.282326982544</v>
      </c>
      <c r="AT23" s="1111">
        <v>3833.282326982544</v>
      </c>
      <c r="AU23" s="1111">
        <v>3833.282326982544</v>
      </c>
      <c r="AV23" s="1111">
        <v>3833.282326982544</v>
      </c>
      <c r="AW23" s="1111">
        <v>3833.282326982544</v>
      </c>
      <c r="AX23" s="1111">
        <v>3833.282326982544</v>
      </c>
      <c r="AY23" s="1111">
        <v>3833.282326982544</v>
      </c>
      <c r="AZ23" s="1111">
        <v>3833.282326982544</v>
      </c>
      <c r="BA23" s="1111">
        <v>3833.282326982544</v>
      </c>
      <c r="BB23" s="1118">
        <v>3833.282326982544</v>
      </c>
      <c r="BC23" s="1114">
        <v>45999.387923790542</v>
      </c>
      <c r="BD23" s="1111">
        <v>3917.6145381761598</v>
      </c>
      <c r="BE23" s="1111">
        <v>3917.6145381761598</v>
      </c>
      <c r="BF23" s="1111">
        <v>3917.6145381761598</v>
      </c>
      <c r="BG23" s="1111">
        <v>3917.6145381761598</v>
      </c>
      <c r="BH23" s="1111">
        <v>3917.6145381761598</v>
      </c>
      <c r="BI23" s="1111">
        <v>3917.6145381761598</v>
      </c>
      <c r="BJ23" s="1111">
        <v>3917.6145381761598</v>
      </c>
      <c r="BK23" s="1111">
        <v>3917.6145381761598</v>
      </c>
      <c r="BL23" s="1111">
        <v>3917.6145381761598</v>
      </c>
      <c r="BM23" s="1111">
        <v>3917.6145381761598</v>
      </c>
      <c r="BN23" s="1111">
        <v>3917.6145381761598</v>
      </c>
      <c r="BO23" s="1118">
        <v>3917.6145381761598</v>
      </c>
      <c r="BP23" s="1114">
        <v>47011.374458113918</v>
      </c>
      <c r="BR23" s="322" t="s">
        <v>1184</v>
      </c>
      <c r="BS23" s="323">
        <v>775000</v>
      </c>
      <c r="BT23" s="323">
        <v>-1053858.2725753998</v>
      </c>
      <c r="BU23" s="323">
        <v>440198.61162869167</v>
      </c>
      <c r="BV23" s="323">
        <v>463496.88245049026</v>
      </c>
      <c r="BW23" s="323">
        <v>818331.01132093277</v>
      </c>
      <c r="BX23" s="324">
        <v>1892574.8366240305</v>
      </c>
    </row>
    <row r="24" spans="2:83" ht="15" thickBot="1">
      <c r="B24" s="1727" t="s">
        <v>1155</v>
      </c>
      <c r="C24" s="313" t="s">
        <v>1030</v>
      </c>
      <c r="D24" s="958">
        <v>453.11521197007482</v>
      </c>
      <c r="E24" s="938">
        <v>453.11521197007482</v>
      </c>
      <c r="F24" s="938">
        <v>453.11521197007482</v>
      </c>
      <c r="G24" s="938">
        <v>453.11521197007482</v>
      </c>
      <c r="H24" s="938">
        <v>453.11521197007482</v>
      </c>
      <c r="I24" s="938">
        <v>453.11521197007482</v>
      </c>
      <c r="J24" s="938">
        <v>453.11521197007482</v>
      </c>
      <c r="K24" s="938">
        <v>453.11521197007482</v>
      </c>
      <c r="L24" s="938">
        <v>453.11521197007482</v>
      </c>
      <c r="M24" s="938">
        <v>453.11521197007482</v>
      </c>
      <c r="N24" s="938">
        <v>453.11521197007482</v>
      </c>
      <c r="O24" s="1126">
        <v>453.11521197007482</v>
      </c>
      <c r="P24" s="932">
        <v>5437.3825436408961</v>
      </c>
      <c r="Q24" s="931">
        <v>463.08374663341647</v>
      </c>
      <c r="R24" s="938">
        <v>463.08374663341647</v>
      </c>
      <c r="S24" s="938">
        <v>463.08374663341647</v>
      </c>
      <c r="T24" s="938">
        <v>463.08374663341647</v>
      </c>
      <c r="U24" s="938">
        <v>463.08374663341647</v>
      </c>
      <c r="V24" s="938">
        <v>463.08374663341647</v>
      </c>
      <c r="W24" s="938">
        <v>463.08374663341647</v>
      </c>
      <c r="X24" s="938">
        <v>463.08374663341647</v>
      </c>
      <c r="Y24" s="938">
        <v>463.08374663341647</v>
      </c>
      <c r="Z24" s="938">
        <v>463.08374663341647</v>
      </c>
      <c r="AA24" s="938">
        <v>463.08374663341647</v>
      </c>
      <c r="AB24" s="939">
        <v>463.08374663341647</v>
      </c>
      <c r="AC24" s="932">
        <v>5557.0049596009958</v>
      </c>
      <c r="AD24" s="933">
        <v>0</v>
      </c>
      <c r="AE24" s="969">
        <v>0</v>
      </c>
      <c r="AF24" s="969">
        <v>0</v>
      </c>
      <c r="AG24" s="969">
        <v>0</v>
      </c>
      <c r="AH24" s="969">
        <v>0</v>
      </c>
      <c r="AI24" s="969">
        <v>0</v>
      </c>
      <c r="AJ24" s="969">
        <v>0</v>
      </c>
      <c r="AK24" s="969">
        <v>0</v>
      </c>
      <c r="AL24" s="969">
        <v>0</v>
      </c>
      <c r="AM24" s="969">
        <v>0</v>
      </c>
      <c r="AN24" s="969">
        <v>0</v>
      </c>
      <c r="AO24" s="974">
        <v>0</v>
      </c>
      <c r="AP24" s="932">
        <v>0</v>
      </c>
      <c r="AQ24" s="931">
        <v>0</v>
      </c>
      <c r="AR24" s="938">
        <v>0</v>
      </c>
      <c r="AS24" s="938">
        <v>0</v>
      </c>
      <c r="AT24" s="938">
        <v>0</v>
      </c>
      <c r="AU24" s="938">
        <v>0</v>
      </c>
      <c r="AV24" s="938">
        <v>0</v>
      </c>
      <c r="AW24" s="938">
        <v>0</v>
      </c>
      <c r="AX24" s="938">
        <v>0</v>
      </c>
      <c r="AY24" s="938">
        <v>0</v>
      </c>
      <c r="AZ24" s="938">
        <v>0</v>
      </c>
      <c r="BA24" s="938">
        <v>0</v>
      </c>
      <c r="BB24" s="939">
        <v>0</v>
      </c>
      <c r="BC24" s="932">
        <v>0</v>
      </c>
      <c r="BD24" s="931">
        <v>0</v>
      </c>
      <c r="BE24" s="938">
        <v>0</v>
      </c>
      <c r="BF24" s="938">
        <v>0</v>
      </c>
      <c r="BG24" s="938">
        <v>0</v>
      </c>
      <c r="BH24" s="938">
        <v>0</v>
      </c>
      <c r="BI24" s="938">
        <v>0</v>
      </c>
      <c r="BJ24" s="938">
        <v>0</v>
      </c>
      <c r="BK24" s="938">
        <v>0</v>
      </c>
      <c r="BL24" s="938">
        <v>0</v>
      </c>
      <c r="BM24" s="938">
        <v>0</v>
      </c>
      <c r="BN24" s="938">
        <v>0</v>
      </c>
      <c r="BO24" s="939">
        <v>0</v>
      </c>
      <c r="BP24" s="932">
        <v>0</v>
      </c>
      <c r="BR24" s="153"/>
      <c r="BX24" s="135"/>
    </row>
    <row r="25" spans="2:83" ht="15" thickBot="1">
      <c r="B25" s="1728"/>
      <c r="C25" s="274" t="s">
        <v>1031</v>
      </c>
      <c r="D25" s="961">
        <v>754.88279301745638</v>
      </c>
      <c r="E25" s="929">
        <v>754.88279301745638</v>
      </c>
      <c r="F25" s="929">
        <v>754.88279301745638</v>
      </c>
      <c r="G25" s="929">
        <v>754.88279301745638</v>
      </c>
      <c r="H25" s="929">
        <v>754.88279301745638</v>
      </c>
      <c r="I25" s="929">
        <v>754.88279301745638</v>
      </c>
      <c r="J25" s="929">
        <v>754.88279301745638</v>
      </c>
      <c r="K25" s="929">
        <v>754.88279301745638</v>
      </c>
      <c r="L25" s="929">
        <v>754.88279301745638</v>
      </c>
      <c r="M25" s="929">
        <v>754.88279301745638</v>
      </c>
      <c r="N25" s="929">
        <v>754.88279301745638</v>
      </c>
      <c r="O25" s="1127">
        <v>754.88279301745638</v>
      </c>
      <c r="P25" s="943">
        <v>9058.5935162094775</v>
      </c>
      <c r="Q25" s="941">
        <v>771.49021446384052</v>
      </c>
      <c r="R25" s="929">
        <v>771.49021446384052</v>
      </c>
      <c r="S25" s="929">
        <v>771.49021446384052</v>
      </c>
      <c r="T25" s="929">
        <v>771.49021446384052</v>
      </c>
      <c r="U25" s="929">
        <v>771.49021446384052</v>
      </c>
      <c r="V25" s="929">
        <v>771.49021446384052</v>
      </c>
      <c r="W25" s="929">
        <v>771.49021446384052</v>
      </c>
      <c r="X25" s="929">
        <v>771.49021446384052</v>
      </c>
      <c r="Y25" s="929">
        <v>771.49021446384052</v>
      </c>
      <c r="Z25" s="929">
        <v>771.49021446384052</v>
      </c>
      <c r="AA25" s="929">
        <v>771.49021446384052</v>
      </c>
      <c r="AB25" s="942">
        <v>771.49021446384052</v>
      </c>
      <c r="AC25" s="943">
        <v>9257.8825735660866</v>
      </c>
      <c r="AD25" s="921">
        <v>0</v>
      </c>
      <c r="AE25" s="968">
        <v>0</v>
      </c>
      <c r="AF25" s="968">
        <v>0</v>
      </c>
      <c r="AG25" s="968">
        <v>0</v>
      </c>
      <c r="AH25" s="968">
        <v>0</v>
      </c>
      <c r="AI25" s="968">
        <v>0</v>
      </c>
      <c r="AJ25" s="968">
        <v>0</v>
      </c>
      <c r="AK25" s="968">
        <v>0</v>
      </c>
      <c r="AL25" s="968">
        <v>0</v>
      </c>
      <c r="AM25" s="968">
        <v>0</v>
      </c>
      <c r="AN25" s="968">
        <v>0</v>
      </c>
      <c r="AO25" s="975">
        <v>0</v>
      </c>
      <c r="AP25" s="943">
        <v>0</v>
      </c>
      <c r="AQ25" s="941">
        <v>0</v>
      </c>
      <c r="AR25" s="929">
        <v>0</v>
      </c>
      <c r="AS25" s="929">
        <v>0</v>
      </c>
      <c r="AT25" s="929">
        <v>0</v>
      </c>
      <c r="AU25" s="929">
        <v>0</v>
      </c>
      <c r="AV25" s="929">
        <v>0</v>
      </c>
      <c r="AW25" s="929">
        <v>0</v>
      </c>
      <c r="AX25" s="929">
        <v>0</v>
      </c>
      <c r="AY25" s="929">
        <v>0</v>
      </c>
      <c r="AZ25" s="929">
        <v>0</v>
      </c>
      <c r="BA25" s="929">
        <v>0</v>
      </c>
      <c r="BB25" s="942">
        <v>0</v>
      </c>
      <c r="BC25" s="943">
        <v>0</v>
      </c>
      <c r="BD25" s="941">
        <v>0</v>
      </c>
      <c r="BE25" s="929">
        <v>0</v>
      </c>
      <c r="BF25" s="929">
        <v>0</v>
      </c>
      <c r="BG25" s="929">
        <v>0</v>
      </c>
      <c r="BH25" s="929">
        <v>0</v>
      </c>
      <c r="BI25" s="929">
        <v>0</v>
      </c>
      <c r="BJ25" s="929">
        <v>0</v>
      </c>
      <c r="BK25" s="929">
        <v>0</v>
      </c>
      <c r="BL25" s="929">
        <v>0</v>
      </c>
      <c r="BM25" s="929">
        <v>0</v>
      </c>
      <c r="BN25" s="929">
        <v>0</v>
      </c>
      <c r="BO25" s="942">
        <v>0</v>
      </c>
      <c r="BP25" s="943">
        <v>0</v>
      </c>
      <c r="BR25" s="322" t="s">
        <v>1185</v>
      </c>
      <c r="BS25" s="323">
        <v>775000</v>
      </c>
      <c r="BT25" s="323">
        <v>-278858.27257539984</v>
      </c>
      <c r="BU25" s="323">
        <v>161340.33905329183</v>
      </c>
      <c r="BV25" s="323">
        <v>624837.22150378209</v>
      </c>
      <c r="BW25" s="323">
        <v>1443168.2328247149</v>
      </c>
      <c r="BX25" s="324">
        <v>3335743.0694487453</v>
      </c>
    </row>
    <row r="26" spans="2:83">
      <c r="B26" s="1728"/>
      <c r="C26" s="274" t="s">
        <v>1156</v>
      </c>
      <c r="D26" s="961">
        <v>263.9920199501247</v>
      </c>
      <c r="E26" s="929">
        <v>263.9920199501247</v>
      </c>
      <c r="F26" s="929">
        <v>263.9920199501247</v>
      </c>
      <c r="G26" s="929">
        <v>263.9920199501247</v>
      </c>
      <c r="H26" s="929">
        <v>263.9920199501247</v>
      </c>
      <c r="I26" s="929">
        <v>263.9920199501247</v>
      </c>
      <c r="J26" s="929">
        <v>263.9920199501247</v>
      </c>
      <c r="K26" s="929">
        <v>263.9920199501247</v>
      </c>
      <c r="L26" s="929">
        <v>263.9920199501247</v>
      </c>
      <c r="M26" s="929">
        <v>263.9920199501247</v>
      </c>
      <c r="N26" s="929">
        <v>263.9920199501247</v>
      </c>
      <c r="O26" s="1127">
        <v>263.9920199501247</v>
      </c>
      <c r="P26" s="943">
        <v>3167.9042394014973</v>
      </c>
      <c r="Q26" s="941">
        <v>316.44993915211973</v>
      </c>
      <c r="R26" s="929">
        <v>316.44993915211973</v>
      </c>
      <c r="S26" s="929">
        <v>316.44993915211973</v>
      </c>
      <c r="T26" s="929">
        <v>316.44993915211973</v>
      </c>
      <c r="U26" s="929">
        <v>316.44993915211973</v>
      </c>
      <c r="V26" s="929">
        <v>316.44993915211973</v>
      </c>
      <c r="W26" s="929">
        <v>316.44993915211973</v>
      </c>
      <c r="X26" s="929">
        <v>316.44993915211973</v>
      </c>
      <c r="Y26" s="929">
        <v>316.44993915211973</v>
      </c>
      <c r="Z26" s="929">
        <v>316.44993915211973</v>
      </c>
      <c r="AA26" s="929">
        <v>316.44993915211973</v>
      </c>
      <c r="AB26" s="942">
        <v>316.44993915211973</v>
      </c>
      <c r="AC26" s="943">
        <v>3797.3992698254374</v>
      </c>
      <c r="AD26" s="921">
        <v>442.60282993316707</v>
      </c>
      <c r="AE26" s="968">
        <v>442.60282993316707</v>
      </c>
      <c r="AF26" s="968">
        <v>442.60282993316707</v>
      </c>
      <c r="AG26" s="968">
        <v>442.60282993316707</v>
      </c>
      <c r="AH26" s="968">
        <v>442.60282993316707</v>
      </c>
      <c r="AI26" s="968">
        <v>442.60282993316707</v>
      </c>
      <c r="AJ26" s="968">
        <v>442.60282993316707</v>
      </c>
      <c r="AK26" s="968">
        <v>442.60282993316707</v>
      </c>
      <c r="AL26" s="968">
        <v>442.60282993316707</v>
      </c>
      <c r="AM26" s="968">
        <v>442.60282993316707</v>
      </c>
      <c r="AN26" s="968">
        <v>442.60282993316707</v>
      </c>
      <c r="AO26" s="975">
        <v>442.60282993316707</v>
      </c>
      <c r="AP26" s="943">
        <v>5311.2339591980053</v>
      </c>
      <c r="AQ26" s="941">
        <v>452.34009219169678</v>
      </c>
      <c r="AR26" s="929">
        <v>452.34009219169678</v>
      </c>
      <c r="AS26" s="929">
        <v>452.34009219169678</v>
      </c>
      <c r="AT26" s="929">
        <v>452.34009219169678</v>
      </c>
      <c r="AU26" s="929">
        <v>452.34009219169678</v>
      </c>
      <c r="AV26" s="929">
        <v>452.34009219169678</v>
      </c>
      <c r="AW26" s="929">
        <v>452.34009219169678</v>
      </c>
      <c r="AX26" s="929">
        <v>452.34009219169678</v>
      </c>
      <c r="AY26" s="929">
        <v>452.34009219169678</v>
      </c>
      <c r="AZ26" s="929">
        <v>452.34009219169678</v>
      </c>
      <c r="BA26" s="929">
        <v>452.34009219169678</v>
      </c>
      <c r="BB26" s="942">
        <v>452.34009219169678</v>
      </c>
      <c r="BC26" s="943">
        <v>5428.0811063003603</v>
      </c>
      <c r="BD26" s="941">
        <v>574.33535001175221</v>
      </c>
      <c r="BE26" s="929">
        <v>574.33535001175221</v>
      </c>
      <c r="BF26" s="929">
        <v>574.33535001175221</v>
      </c>
      <c r="BG26" s="929">
        <v>574.33535001175221</v>
      </c>
      <c r="BH26" s="929">
        <v>574.33535001175221</v>
      </c>
      <c r="BI26" s="929">
        <v>574.33535001175221</v>
      </c>
      <c r="BJ26" s="929">
        <v>574.33535001175221</v>
      </c>
      <c r="BK26" s="929">
        <v>574.33535001175221</v>
      </c>
      <c r="BL26" s="929">
        <v>574.33535001175221</v>
      </c>
      <c r="BM26" s="929">
        <v>574.33535001175221</v>
      </c>
      <c r="BN26" s="929">
        <v>574.33535001175221</v>
      </c>
      <c r="BO26" s="942">
        <v>574.33535001175221</v>
      </c>
      <c r="BP26" s="943">
        <v>6892.0242001410252</v>
      </c>
    </row>
    <row r="27" spans="2:83">
      <c r="B27" s="1728"/>
      <c r="C27" s="274" t="s">
        <v>966</v>
      </c>
      <c r="D27" s="961">
        <v>7.489167082294264</v>
      </c>
      <c r="E27" s="929">
        <v>7.489167082294264</v>
      </c>
      <c r="F27" s="929">
        <v>7.489167082294264</v>
      </c>
      <c r="G27" s="929">
        <v>7.489167082294264</v>
      </c>
      <c r="H27" s="929">
        <v>7.489167082294264</v>
      </c>
      <c r="I27" s="929">
        <v>7.489167082294264</v>
      </c>
      <c r="J27" s="929">
        <v>7.489167082294264</v>
      </c>
      <c r="K27" s="929">
        <v>7.489167082294264</v>
      </c>
      <c r="L27" s="929">
        <v>7.489167082294264</v>
      </c>
      <c r="M27" s="929">
        <v>7.489167082294264</v>
      </c>
      <c r="N27" s="929">
        <v>7.489167082294264</v>
      </c>
      <c r="O27" s="1127">
        <v>7.489167082294264</v>
      </c>
      <c r="P27" s="943">
        <v>89.870004987531161</v>
      </c>
      <c r="Q27" s="941">
        <v>10.03884858852868</v>
      </c>
      <c r="R27" s="929">
        <v>10.03884858852868</v>
      </c>
      <c r="S27" s="929">
        <v>10.03884858852868</v>
      </c>
      <c r="T27" s="929">
        <v>10.03884858852868</v>
      </c>
      <c r="U27" s="929">
        <v>10.03884858852868</v>
      </c>
      <c r="V27" s="929">
        <v>10.03884858852868</v>
      </c>
      <c r="W27" s="929">
        <v>10.03884858852868</v>
      </c>
      <c r="X27" s="929">
        <v>10.03884858852868</v>
      </c>
      <c r="Y27" s="929">
        <v>10.03884858852868</v>
      </c>
      <c r="Z27" s="929">
        <v>10.03884858852868</v>
      </c>
      <c r="AA27" s="929">
        <v>10.03884858852868</v>
      </c>
      <c r="AB27" s="942">
        <v>10.03884858852868</v>
      </c>
      <c r="AC27" s="943">
        <v>120.46618306234416</v>
      </c>
      <c r="AD27" s="921">
        <v>17.288450240498751</v>
      </c>
      <c r="AE27" s="968">
        <v>17.288450240498751</v>
      </c>
      <c r="AF27" s="968">
        <v>17.288450240498751</v>
      </c>
      <c r="AG27" s="968">
        <v>17.288450240498751</v>
      </c>
      <c r="AH27" s="968">
        <v>17.288450240498751</v>
      </c>
      <c r="AI27" s="968">
        <v>17.288450240498751</v>
      </c>
      <c r="AJ27" s="968">
        <v>17.288450240498751</v>
      </c>
      <c r="AK27" s="968">
        <v>17.288450240498751</v>
      </c>
      <c r="AL27" s="968">
        <v>17.288450240498751</v>
      </c>
      <c r="AM27" s="968">
        <v>17.288450240498751</v>
      </c>
      <c r="AN27" s="968">
        <v>17.288450240498751</v>
      </c>
      <c r="AO27" s="975">
        <v>17.288450240498751</v>
      </c>
      <c r="AP27" s="943">
        <v>207.461402885985</v>
      </c>
      <c r="AQ27" s="941">
        <v>30.703153958257559</v>
      </c>
      <c r="AR27" s="929">
        <v>30.703153958257559</v>
      </c>
      <c r="AS27" s="929">
        <v>30.703153958257559</v>
      </c>
      <c r="AT27" s="929">
        <v>30.703153958257559</v>
      </c>
      <c r="AU27" s="929">
        <v>30.703153958257559</v>
      </c>
      <c r="AV27" s="929">
        <v>30.703153958257559</v>
      </c>
      <c r="AW27" s="929">
        <v>30.703153958257559</v>
      </c>
      <c r="AX27" s="929">
        <v>30.703153958257559</v>
      </c>
      <c r="AY27" s="929">
        <v>30.703153958257559</v>
      </c>
      <c r="AZ27" s="929">
        <v>30.703153958257559</v>
      </c>
      <c r="BA27" s="929">
        <v>30.703153958257559</v>
      </c>
      <c r="BB27" s="942">
        <v>30.703153958257559</v>
      </c>
      <c r="BC27" s="943">
        <v>368.43784749909059</v>
      </c>
      <c r="BD27" s="941">
        <v>45.587811275304155</v>
      </c>
      <c r="BE27" s="929">
        <v>45.587811275304155</v>
      </c>
      <c r="BF27" s="929">
        <v>45.587811275304155</v>
      </c>
      <c r="BG27" s="929">
        <v>45.587811275304155</v>
      </c>
      <c r="BH27" s="929">
        <v>45.587811275304155</v>
      </c>
      <c r="BI27" s="929">
        <v>45.587811275304155</v>
      </c>
      <c r="BJ27" s="929">
        <v>45.587811275304155</v>
      </c>
      <c r="BK27" s="929">
        <v>45.587811275304155</v>
      </c>
      <c r="BL27" s="929">
        <v>45.587811275304155</v>
      </c>
      <c r="BM27" s="929">
        <v>45.587811275304155</v>
      </c>
      <c r="BN27" s="929">
        <v>45.587811275304155</v>
      </c>
      <c r="BO27" s="942">
        <v>45.587811275304155</v>
      </c>
      <c r="BP27" s="943">
        <v>547.05373530364989</v>
      </c>
    </row>
    <row r="28" spans="2:83">
      <c r="B28" s="1728"/>
      <c r="C28" s="274" t="s">
        <v>1157</v>
      </c>
      <c r="D28" s="961">
        <v>54.862842892768079</v>
      </c>
      <c r="E28" s="929">
        <v>54.862842892768079</v>
      </c>
      <c r="F28" s="929">
        <v>54.862842892768079</v>
      </c>
      <c r="G28" s="929">
        <v>54.862842892768079</v>
      </c>
      <c r="H28" s="929">
        <v>54.862842892768079</v>
      </c>
      <c r="I28" s="929">
        <v>54.862842892768079</v>
      </c>
      <c r="J28" s="929">
        <v>54.862842892768079</v>
      </c>
      <c r="K28" s="929">
        <v>54.862842892768079</v>
      </c>
      <c r="L28" s="929">
        <v>54.862842892768079</v>
      </c>
      <c r="M28" s="929">
        <v>54.862842892768079</v>
      </c>
      <c r="N28" s="929">
        <v>54.862842892768079</v>
      </c>
      <c r="O28" s="1127">
        <v>54.862842892768079</v>
      </c>
      <c r="P28" s="943">
        <v>658.35411471321697</v>
      </c>
      <c r="Q28" s="941">
        <v>56.069825436408976</v>
      </c>
      <c r="R28" s="929">
        <v>56.069825436408976</v>
      </c>
      <c r="S28" s="929">
        <v>56.069825436408976</v>
      </c>
      <c r="T28" s="929">
        <v>56.069825436408976</v>
      </c>
      <c r="U28" s="929">
        <v>56.069825436408976</v>
      </c>
      <c r="V28" s="929">
        <v>56.069825436408976</v>
      </c>
      <c r="W28" s="929">
        <v>56.069825436408976</v>
      </c>
      <c r="X28" s="929">
        <v>56.069825436408976</v>
      </c>
      <c r="Y28" s="929">
        <v>56.069825436408976</v>
      </c>
      <c r="Z28" s="929">
        <v>56.069825436408976</v>
      </c>
      <c r="AA28" s="929">
        <v>56.069825436408976</v>
      </c>
      <c r="AB28" s="942">
        <v>56.069825436408976</v>
      </c>
      <c r="AC28" s="943">
        <v>672.83790523690777</v>
      </c>
      <c r="AD28" s="921">
        <v>57.303361596009978</v>
      </c>
      <c r="AE28" s="968">
        <v>57.303361596009978</v>
      </c>
      <c r="AF28" s="968">
        <v>57.303361596009978</v>
      </c>
      <c r="AG28" s="968">
        <v>57.303361596009978</v>
      </c>
      <c r="AH28" s="968">
        <v>57.303361596009978</v>
      </c>
      <c r="AI28" s="968">
        <v>57.303361596009978</v>
      </c>
      <c r="AJ28" s="968">
        <v>57.303361596009978</v>
      </c>
      <c r="AK28" s="968">
        <v>57.303361596009978</v>
      </c>
      <c r="AL28" s="968">
        <v>57.303361596009978</v>
      </c>
      <c r="AM28" s="968">
        <v>57.303361596009978</v>
      </c>
      <c r="AN28" s="968">
        <v>57.303361596009978</v>
      </c>
      <c r="AO28" s="975">
        <v>57.303361596009978</v>
      </c>
      <c r="AP28" s="943">
        <v>687.64033915211951</v>
      </c>
      <c r="AQ28" s="941">
        <v>58.564035551122203</v>
      </c>
      <c r="AR28" s="929">
        <v>58.564035551122203</v>
      </c>
      <c r="AS28" s="929">
        <v>58.564035551122203</v>
      </c>
      <c r="AT28" s="929">
        <v>58.564035551122203</v>
      </c>
      <c r="AU28" s="929">
        <v>58.564035551122203</v>
      </c>
      <c r="AV28" s="929">
        <v>58.564035551122203</v>
      </c>
      <c r="AW28" s="929">
        <v>58.564035551122203</v>
      </c>
      <c r="AX28" s="929">
        <v>58.564035551122203</v>
      </c>
      <c r="AY28" s="929">
        <v>58.564035551122203</v>
      </c>
      <c r="AZ28" s="929">
        <v>58.564035551122203</v>
      </c>
      <c r="BA28" s="929">
        <v>58.564035551122203</v>
      </c>
      <c r="BB28" s="942">
        <v>58.564035551122203</v>
      </c>
      <c r="BC28" s="943">
        <v>702.7684266134662</v>
      </c>
      <c r="BD28" s="941">
        <v>59.852444333246893</v>
      </c>
      <c r="BE28" s="929">
        <v>59.852444333246893</v>
      </c>
      <c r="BF28" s="929">
        <v>59.852444333246893</v>
      </c>
      <c r="BG28" s="929">
        <v>59.852444333246893</v>
      </c>
      <c r="BH28" s="929">
        <v>59.852444333246893</v>
      </c>
      <c r="BI28" s="929">
        <v>59.852444333246893</v>
      </c>
      <c r="BJ28" s="929">
        <v>59.852444333246893</v>
      </c>
      <c r="BK28" s="929">
        <v>59.852444333246893</v>
      </c>
      <c r="BL28" s="929">
        <v>59.852444333246893</v>
      </c>
      <c r="BM28" s="929">
        <v>59.852444333246893</v>
      </c>
      <c r="BN28" s="929">
        <v>59.852444333246893</v>
      </c>
      <c r="BO28" s="942">
        <v>59.852444333246893</v>
      </c>
      <c r="BP28" s="943">
        <v>718.22933199896295</v>
      </c>
    </row>
    <row r="29" spans="2:83" ht="15" thickBot="1">
      <c r="B29" s="1729"/>
      <c r="C29" s="462" t="s">
        <v>1158</v>
      </c>
      <c r="D29" s="965">
        <v>200</v>
      </c>
      <c r="E29" s="947">
        <v>200</v>
      </c>
      <c r="F29" s="947">
        <v>200</v>
      </c>
      <c r="G29" s="947">
        <v>200</v>
      </c>
      <c r="H29" s="947">
        <v>200</v>
      </c>
      <c r="I29" s="947">
        <v>200</v>
      </c>
      <c r="J29" s="947">
        <v>200</v>
      </c>
      <c r="K29" s="947">
        <v>200</v>
      </c>
      <c r="L29" s="947">
        <v>200</v>
      </c>
      <c r="M29" s="947">
        <v>200</v>
      </c>
      <c r="N29" s="947">
        <v>200</v>
      </c>
      <c r="O29" s="1130">
        <v>200</v>
      </c>
      <c r="P29" s="920">
        <v>2400</v>
      </c>
      <c r="Q29" s="946">
        <v>300</v>
      </c>
      <c r="R29" s="947">
        <v>300</v>
      </c>
      <c r="S29" s="947">
        <v>300</v>
      </c>
      <c r="T29" s="947">
        <v>300</v>
      </c>
      <c r="U29" s="947">
        <v>300</v>
      </c>
      <c r="V29" s="947">
        <v>300</v>
      </c>
      <c r="W29" s="947">
        <v>300</v>
      </c>
      <c r="X29" s="947">
        <v>300</v>
      </c>
      <c r="Y29" s="947">
        <v>300</v>
      </c>
      <c r="Z29" s="947">
        <v>300</v>
      </c>
      <c r="AA29" s="947">
        <v>300</v>
      </c>
      <c r="AB29" s="948">
        <v>300</v>
      </c>
      <c r="AC29" s="920">
        <v>3600</v>
      </c>
      <c r="AD29" s="950">
        <v>450</v>
      </c>
      <c r="AE29" s="1262">
        <v>450</v>
      </c>
      <c r="AF29" s="1262">
        <v>450</v>
      </c>
      <c r="AG29" s="1262">
        <v>450</v>
      </c>
      <c r="AH29" s="1262">
        <v>450</v>
      </c>
      <c r="AI29" s="1262">
        <v>450</v>
      </c>
      <c r="AJ29" s="1262">
        <v>450</v>
      </c>
      <c r="AK29" s="1262">
        <v>450</v>
      </c>
      <c r="AL29" s="1262">
        <v>450</v>
      </c>
      <c r="AM29" s="1262">
        <v>450</v>
      </c>
      <c r="AN29" s="1262">
        <v>450</v>
      </c>
      <c r="AO29" s="1263">
        <v>450</v>
      </c>
      <c r="AP29" s="920">
        <v>5400</v>
      </c>
      <c r="AQ29" s="946">
        <v>459.90000000000003</v>
      </c>
      <c r="AR29" s="947">
        <v>459.90000000000003</v>
      </c>
      <c r="AS29" s="947">
        <v>459.90000000000003</v>
      </c>
      <c r="AT29" s="947">
        <v>459.90000000000003</v>
      </c>
      <c r="AU29" s="947">
        <v>459.90000000000003</v>
      </c>
      <c r="AV29" s="947">
        <v>459.90000000000003</v>
      </c>
      <c r="AW29" s="947">
        <v>459.90000000000003</v>
      </c>
      <c r="AX29" s="947">
        <v>459.90000000000003</v>
      </c>
      <c r="AY29" s="947">
        <v>459.90000000000003</v>
      </c>
      <c r="AZ29" s="947">
        <v>459.90000000000003</v>
      </c>
      <c r="BA29" s="947">
        <v>459.90000000000003</v>
      </c>
      <c r="BB29" s="948">
        <v>459.90000000000003</v>
      </c>
      <c r="BC29" s="920">
        <v>5518.7999999999993</v>
      </c>
      <c r="BD29" s="946">
        <v>551.88</v>
      </c>
      <c r="BE29" s="947">
        <v>551.88</v>
      </c>
      <c r="BF29" s="947">
        <v>551.88</v>
      </c>
      <c r="BG29" s="947">
        <v>551.88</v>
      </c>
      <c r="BH29" s="947">
        <v>551.88</v>
      </c>
      <c r="BI29" s="947">
        <v>551.88</v>
      </c>
      <c r="BJ29" s="947">
        <v>551.88</v>
      </c>
      <c r="BK29" s="947">
        <v>551.88</v>
      </c>
      <c r="BL29" s="947">
        <v>551.88</v>
      </c>
      <c r="BM29" s="947">
        <v>551.88</v>
      </c>
      <c r="BN29" s="947">
        <v>551.88</v>
      </c>
      <c r="BO29" s="948">
        <v>551.88</v>
      </c>
      <c r="BP29" s="920">
        <v>6622.56</v>
      </c>
    </row>
    <row r="30" spans="2:83">
      <c r="B30" s="1739" t="s">
        <v>1159</v>
      </c>
      <c r="C30" s="313" t="s">
        <v>1036</v>
      </c>
      <c r="D30" s="931">
        <v>50</v>
      </c>
      <c r="E30" s="938">
        <v>50</v>
      </c>
      <c r="F30" s="938">
        <v>50</v>
      </c>
      <c r="G30" s="938">
        <v>50</v>
      </c>
      <c r="H30" s="938">
        <v>50</v>
      </c>
      <c r="I30" s="938">
        <v>50</v>
      </c>
      <c r="J30" s="938">
        <v>50</v>
      </c>
      <c r="K30" s="938">
        <v>50</v>
      </c>
      <c r="L30" s="938">
        <v>50</v>
      </c>
      <c r="M30" s="938">
        <v>50</v>
      </c>
      <c r="N30" s="938">
        <v>50</v>
      </c>
      <c r="O30" s="939">
        <v>50</v>
      </c>
      <c r="P30" s="932">
        <v>600</v>
      </c>
      <c r="Q30" s="931">
        <v>60</v>
      </c>
      <c r="R30" s="938">
        <v>60</v>
      </c>
      <c r="S30" s="938">
        <v>60</v>
      </c>
      <c r="T30" s="938">
        <v>60</v>
      </c>
      <c r="U30" s="938">
        <v>60</v>
      </c>
      <c r="V30" s="938">
        <v>60</v>
      </c>
      <c r="W30" s="938">
        <v>60</v>
      </c>
      <c r="X30" s="938">
        <v>60</v>
      </c>
      <c r="Y30" s="938">
        <v>60</v>
      </c>
      <c r="Z30" s="938">
        <v>60</v>
      </c>
      <c r="AA30" s="938">
        <v>60</v>
      </c>
      <c r="AB30" s="939">
        <v>60</v>
      </c>
      <c r="AC30" s="932">
        <v>720</v>
      </c>
      <c r="AD30" s="933">
        <v>84</v>
      </c>
      <c r="AE30" s="969">
        <v>84</v>
      </c>
      <c r="AF30" s="969">
        <v>84</v>
      </c>
      <c r="AG30" s="969">
        <v>84</v>
      </c>
      <c r="AH30" s="969">
        <v>84</v>
      </c>
      <c r="AI30" s="969">
        <v>84</v>
      </c>
      <c r="AJ30" s="969">
        <v>84</v>
      </c>
      <c r="AK30" s="969">
        <v>84</v>
      </c>
      <c r="AL30" s="969">
        <v>84</v>
      </c>
      <c r="AM30" s="969">
        <v>84</v>
      </c>
      <c r="AN30" s="969">
        <v>84</v>
      </c>
      <c r="AO30" s="974">
        <v>84</v>
      </c>
      <c r="AP30" s="932">
        <v>1008</v>
      </c>
      <c r="AQ30" s="931">
        <v>92</v>
      </c>
      <c r="AR30" s="938">
        <v>92</v>
      </c>
      <c r="AS30" s="938">
        <v>92</v>
      </c>
      <c r="AT30" s="938">
        <v>92</v>
      </c>
      <c r="AU30" s="938">
        <v>92</v>
      </c>
      <c r="AV30" s="938">
        <v>92</v>
      </c>
      <c r="AW30" s="938">
        <v>92</v>
      </c>
      <c r="AX30" s="938">
        <v>92</v>
      </c>
      <c r="AY30" s="938">
        <v>92</v>
      </c>
      <c r="AZ30" s="938">
        <v>92</v>
      </c>
      <c r="BA30" s="938">
        <v>92</v>
      </c>
      <c r="BB30" s="939">
        <v>92</v>
      </c>
      <c r="BC30" s="932">
        <v>1104</v>
      </c>
      <c r="BD30" s="931">
        <v>104</v>
      </c>
      <c r="BE30" s="938">
        <v>104</v>
      </c>
      <c r="BF30" s="938">
        <v>104</v>
      </c>
      <c r="BG30" s="938">
        <v>104</v>
      </c>
      <c r="BH30" s="938">
        <v>104</v>
      </c>
      <c r="BI30" s="938">
        <v>104</v>
      </c>
      <c r="BJ30" s="938">
        <v>104</v>
      </c>
      <c r="BK30" s="938">
        <v>104</v>
      </c>
      <c r="BL30" s="938">
        <v>104</v>
      </c>
      <c r="BM30" s="938">
        <v>104</v>
      </c>
      <c r="BN30" s="938">
        <v>104</v>
      </c>
      <c r="BO30" s="939">
        <v>104</v>
      </c>
      <c r="BP30" s="932">
        <v>1248</v>
      </c>
    </row>
    <row r="31" spans="2:83">
      <c r="B31" s="1740"/>
      <c r="C31" s="274" t="s">
        <v>218</v>
      </c>
      <c r="D31" s="941">
        <v>1187.0324189526184</v>
      </c>
      <c r="E31" s="929">
        <v>1187.0324189526184</v>
      </c>
      <c r="F31" s="929">
        <v>1187.0324189526184</v>
      </c>
      <c r="G31" s="929">
        <v>1187.0324189526184</v>
      </c>
      <c r="H31" s="929">
        <v>1187.0324189526184</v>
      </c>
      <c r="I31" s="929">
        <v>1187.0324189526184</v>
      </c>
      <c r="J31" s="929">
        <v>1187.0324189526184</v>
      </c>
      <c r="K31" s="929">
        <v>1187.0324189526184</v>
      </c>
      <c r="L31" s="929">
        <v>1187.0324189526184</v>
      </c>
      <c r="M31" s="929">
        <v>1187.0324189526184</v>
      </c>
      <c r="N31" s="929">
        <v>1187.0324189526184</v>
      </c>
      <c r="O31" s="942">
        <v>1187.0324189526184</v>
      </c>
      <c r="P31" s="943">
        <v>14244.38902743142</v>
      </c>
      <c r="Q31" s="941">
        <v>1386.4538653366583</v>
      </c>
      <c r="R31" s="929">
        <v>1386.4538653366583</v>
      </c>
      <c r="S31" s="929">
        <v>1386.4538653366583</v>
      </c>
      <c r="T31" s="929">
        <v>1386.4538653366583</v>
      </c>
      <c r="U31" s="929">
        <v>1386.4538653366583</v>
      </c>
      <c r="V31" s="929">
        <v>1386.4538653366583</v>
      </c>
      <c r="W31" s="929">
        <v>1386.4538653366583</v>
      </c>
      <c r="X31" s="929">
        <v>1386.4538653366583</v>
      </c>
      <c r="Y31" s="929">
        <v>1386.4538653366583</v>
      </c>
      <c r="Z31" s="929">
        <v>1386.4538653366583</v>
      </c>
      <c r="AA31" s="929">
        <v>1386.4538653366583</v>
      </c>
      <c r="AB31" s="942">
        <v>1386.4538653366583</v>
      </c>
      <c r="AC31" s="943">
        <v>16637.4463840399</v>
      </c>
      <c r="AD31" s="921">
        <v>2125.4337755610973</v>
      </c>
      <c r="AE31" s="968">
        <v>2125.4337755610973</v>
      </c>
      <c r="AF31" s="968">
        <v>2125.4337755610973</v>
      </c>
      <c r="AG31" s="968">
        <v>2125.4337755610973</v>
      </c>
      <c r="AH31" s="968">
        <v>2125.4337755610973</v>
      </c>
      <c r="AI31" s="968">
        <v>2125.4337755610973</v>
      </c>
      <c r="AJ31" s="968">
        <v>2125.4337755610973</v>
      </c>
      <c r="AK31" s="968">
        <v>2125.4337755610973</v>
      </c>
      <c r="AL31" s="968">
        <v>2125.4337755610973</v>
      </c>
      <c r="AM31" s="968">
        <v>2125.4337755610973</v>
      </c>
      <c r="AN31" s="968">
        <v>2125.4337755610973</v>
      </c>
      <c r="AO31" s="975">
        <v>2125.4337755610973</v>
      </c>
      <c r="AP31" s="943">
        <v>25505.205306733169</v>
      </c>
      <c r="AQ31" s="941">
        <v>2715.2416482793014</v>
      </c>
      <c r="AR31" s="929">
        <v>2715.2416482793014</v>
      </c>
      <c r="AS31" s="929">
        <v>2715.2416482793014</v>
      </c>
      <c r="AT31" s="929">
        <v>2715.2416482793014</v>
      </c>
      <c r="AU31" s="929">
        <v>2715.2416482793014</v>
      </c>
      <c r="AV31" s="929">
        <v>2715.2416482793014</v>
      </c>
      <c r="AW31" s="929">
        <v>2715.2416482793014</v>
      </c>
      <c r="AX31" s="929">
        <v>2715.2416482793014</v>
      </c>
      <c r="AY31" s="929">
        <v>2715.2416482793014</v>
      </c>
      <c r="AZ31" s="929">
        <v>2715.2416482793014</v>
      </c>
      <c r="BA31" s="929">
        <v>2715.2416482793014</v>
      </c>
      <c r="BB31" s="942">
        <v>2715.2416482793014</v>
      </c>
      <c r="BC31" s="943">
        <v>32582.899779351617</v>
      </c>
      <c r="BD31" s="941">
        <v>3144.9738931469728</v>
      </c>
      <c r="BE31" s="929">
        <v>3144.9738931469728</v>
      </c>
      <c r="BF31" s="929">
        <v>3144.9738931469728</v>
      </c>
      <c r="BG31" s="929">
        <v>3144.9738931469728</v>
      </c>
      <c r="BH31" s="929">
        <v>3144.9738931469728</v>
      </c>
      <c r="BI31" s="929">
        <v>3144.9738931469728</v>
      </c>
      <c r="BJ31" s="929">
        <v>3144.9738931469728</v>
      </c>
      <c r="BK31" s="929">
        <v>3144.9738931469728</v>
      </c>
      <c r="BL31" s="929">
        <v>3144.9738931469728</v>
      </c>
      <c r="BM31" s="929">
        <v>3144.9738931469728</v>
      </c>
      <c r="BN31" s="929">
        <v>3144.9738931469728</v>
      </c>
      <c r="BO31" s="942">
        <v>3144.9738931469728</v>
      </c>
      <c r="BP31" s="943">
        <v>37739.686717763674</v>
      </c>
    </row>
    <row r="32" spans="2:83">
      <c r="B32" s="1740"/>
      <c r="C32" s="274" t="s">
        <v>1160</v>
      </c>
      <c r="D32" s="941">
        <v>500</v>
      </c>
      <c r="E32" s="929">
        <v>500</v>
      </c>
      <c r="F32" s="929">
        <v>500</v>
      </c>
      <c r="G32" s="929">
        <v>500</v>
      </c>
      <c r="H32" s="929">
        <v>500</v>
      </c>
      <c r="I32" s="929">
        <v>500</v>
      </c>
      <c r="J32" s="929">
        <v>500</v>
      </c>
      <c r="K32" s="929">
        <v>500</v>
      </c>
      <c r="L32" s="929">
        <v>500</v>
      </c>
      <c r="M32" s="929">
        <v>500</v>
      </c>
      <c r="N32" s="929">
        <v>500</v>
      </c>
      <c r="O32" s="942">
        <v>500</v>
      </c>
      <c r="P32" s="943">
        <v>6000</v>
      </c>
      <c r="Q32" s="941">
        <v>700</v>
      </c>
      <c r="R32" s="929">
        <v>700</v>
      </c>
      <c r="S32" s="929">
        <v>700</v>
      </c>
      <c r="T32" s="929">
        <v>700</v>
      </c>
      <c r="U32" s="929">
        <v>700</v>
      </c>
      <c r="V32" s="929">
        <v>700</v>
      </c>
      <c r="W32" s="929">
        <v>700</v>
      </c>
      <c r="X32" s="929">
        <v>700</v>
      </c>
      <c r="Y32" s="929">
        <v>700</v>
      </c>
      <c r="Z32" s="929">
        <v>700</v>
      </c>
      <c r="AA32" s="929">
        <v>700</v>
      </c>
      <c r="AB32" s="942">
        <v>700</v>
      </c>
      <c r="AC32" s="943">
        <v>8400</v>
      </c>
      <c r="AD32" s="921">
        <v>900</v>
      </c>
      <c r="AE32" s="968">
        <v>900</v>
      </c>
      <c r="AF32" s="968">
        <v>900</v>
      </c>
      <c r="AG32" s="968">
        <v>900</v>
      </c>
      <c r="AH32" s="968">
        <v>900</v>
      </c>
      <c r="AI32" s="968">
        <v>900</v>
      </c>
      <c r="AJ32" s="968">
        <v>900</v>
      </c>
      <c r="AK32" s="968">
        <v>900</v>
      </c>
      <c r="AL32" s="968">
        <v>900</v>
      </c>
      <c r="AM32" s="968">
        <v>900</v>
      </c>
      <c r="AN32" s="968">
        <v>900</v>
      </c>
      <c r="AO32" s="975">
        <v>900</v>
      </c>
      <c r="AP32" s="943">
        <v>10800</v>
      </c>
      <c r="AQ32" s="941">
        <v>1200</v>
      </c>
      <c r="AR32" s="929">
        <v>1200</v>
      </c>
      <c r="AS32" s="929">
        <v>1200</v>
      </c>
      <c r="AT32" s="929">
        <v>1200</v>
      </c>
      <c r="AU32" s="929">
        <v>1200</v>
      </c>
      <c r="AV32" s="929">
        <v>1200</v>
      </c>
      <c r="AW32" s="929">
        <v>1200</v>
      </c>
      <c r="AX32" s="929">
        <v>1200</v>
      </c>
      <c r="AY32" s="929">
        <v>1200</v>
      </c>
      <c r="AZ32" s="929">
        <v>1200</v>
      </c>
      <c r="BA32" s="929">
        <v>1200</v>
      </c>
      <c r="BB32" s="942">
        <v>1200</v>
      </c>
      <c r="BC32" s="943">
        <v>14400</v>
      </c>
      <c r="BD32" s="941">
        <v>1300</v>
      </c>
      <c r="BE32" s="929">
        <v>1300</v>
      </c>
      <c r="BF32" s="929">
        <v>1300</v>
      </c>
      <c r="BG32" s="929">
        <v>1300</v>
      </c>
      <c r="BH32" s="929">
        <v>1300</v>
      </c>
      <c r="BI32" s="929">
        <v>1300</v>
      </c>
      <c r="BJ32" s="929">
        <v>1300</v>
      </c>
      <c r="BK32" s="929">
        <v>1300</v>
      </c>
      <c r="BL32" s="929">
        <v>1300</v>
      </c>
      <c r="BM32" s="929">
        <v>1300</v>
      </c>
      <c r="BN32" s="929">
        <v>1300</v>
      </c>
      <c r="BO32" s="942">
        <v>1300</v>
      </c>
      <c r="BP32" s="943">
        <v>15600</v>
      </c>
    </row>
    <row r="33" spans="2:68">
      <c r="B33" s="1740"/>
      <c r="C33" s="274" t="s">
        <v>1039</v>
      </c>
      <c r="D33" s="941">
        <v>0</v>
      </c>
      <c r="E33" s="929">
        <v>0</v>
      </c>
      <c r="F33" s="929">
        <v>283.19727469437782</v>
      </c>
      <c r="G33" s="929">
        <v>403.98432750874616</v>
      </c>
      <c r="H33" s="929">
        <v>699.59580966411522</v>
      </c>
      <c r="I33" s="929">
        <v>1247.3306184315136</v>
      </c>
      <c r="J33" s="929">
        <v>1704.64527673149</v>
      </c>
      <c r="K33" s="929">
        <v>2402.2690192715049</v>
      </c>
      <c r="L33" s="929">
        <v>2448.6391479445469</v>
      </c>
      <c r="M33" s="929">
        <v>2651.3220954852723</v>
      </c>
      <c r="N33" s="929">
        <v>3076.8375987746181</v>
      </c>
      <c r="O33" s="942">
        <v>2649.9630719571419</v>
      </c>
      <c r="P33" s="943">
        <v>17567.78424046333</v>
      </c>
      <c r="Q33" s="941">
        <v>1621.4184502143428</v>
      </c>
      <c r="R33" s="929">
        <v>1618.8319734600711</v>
      </c>
      <c r="S33" s="929">
        <v>1907.1655549309135</v>
      </c>
      <c r="T33" s="929">
        <v>1813.2830110151478</v>
      </c>
      <c r="U33" s="929">
        <v>1883.6208915290267</v>
      </c>
      <c r="V33" s="929">
        <v>2098.4702817300936</v>
      </c>
      <c r="W33" s="929">
        <v>2085.2033910277987</v>
      </c>
      <c r="X33" s="929">
        <v>2308.3277863243338</v>
      </c>
      <c r="Y33" s="929">
        <v>2195.5084015848306</v>
      </c>
      <c r="Z33" s="929">
        <v>2097.0739416827469</v>
      </c>
      <c r="AA33" s="929">
        <v>2176.9609362142251</v>
      </c>
      <c r="AB33" s="942">
        <v>1780.7783035352386</v>
      </c>
      <c r="AC33" s="943">
        <v>23586.642923248764</v>
      </c>
      <c r="AD33" s="921">
        <v>1815.5788972679291</v>
      </c>
      <c r="AE33" s="968">
        <v>1812.2740679934141</v>
      </c>
      <c r="AF33" s="968">
        <v>2134.584873579227</v>
      </c>
      <c r="AG33" s="968">
        <v>2029.057661869678</v>
      </c>
      <c r="AH33" s="968">
        <v>2107.3024904369781</v>
      </c>
      <c r="AI33" s="968">
        <v>2347.1540902616266</v>
      </c>
      <c r="AJ33" s="968">
        <v>2331.8112832600923</v>
      </c>
      <c r="AK33" s="968">
        <v>2580.7708557788046</v>
      </c>
      <c r="AL33" s="968">
        <v>2454.1146055091863</v>
      </c>
      <c r="AM33" s="968">
        <v>2343.5920835895599</v>
      </c>
      <c r="AN33" s="968">
        <v>2432.3620464101073</v>
      </c>
      <c r="AO33" s="975">
        <v>1989.2872253009336</v>
      </c>
      <c r="AP33" s="943">
        <v>26377.890181257535</v>
      </c>
      <c r="AQ33" s="941">
        <v>1351.8306965417439</v>
      </c>
      <c r="AR33" s="929">
        <v>1349.0951664405763</v>
      </c>
      <c r="AS33" s="929">
        <v>1588.7091430221583</v>
      </c>
      <c r="AT33" s="929">
        <v>1509.8657355152038</v>
      </c>
      <c r="AU33" s="929">
        <v>1567.7777660859033</v>
      </c>
      <c r="AV33" s="929">
        <v>1745.8768297723893</v>
      </c>
      <c r="AW33" s="929">
        <v>1734.1252733392489</v>
      </c>
      <c r="AX33" s="929">
        <v>1918.8996542267714</v>
      </c>
      <c r="AY33" s="929">
        <v>1824.3748781765921</v>
      </c>
      <c r="AZ33" s="929">
        <v>1741.8804920721138</v>
      </c>
      <c r="BA33" s="929">
        <v>1807.5166177130054</v>
      </c>
      <c r="BB33" s="942">
        <v>1477.9848131372626</v>
      </c>
      <c r="BC33" s="943">
        <v>19617.93706604297</v>
      </c>
      <c r="BD33" s="941">
        <v>1882.8472713315475</v>
      </c>
      <c r="BE33" s="929">
        <v>1878.6896803717584</v>
      </c>
      <c r="BF33" s="929">
        <v>2211.9594427897132</v>
      </c>
      <c r="BG33" s="929">
        <v>2101.8030381168724</v>
      </c>
      <c r="BH33" s="929">
        <v>2182.0249940848144</v>
      </c>
      <c r="BI33" s="929">
        <v>2429.466755349235</v>
      </c>
      <c r="BJ33" s="929">
        <v>2412.6846714690359</v>
      </c>
      <c r="BK33" s="929">
        <v>2669.2895828481314</v>
      </c>
      <c r="BL33" s="929">
        <v>2537.3561193794221</v>
      </c>
      <c r="BM33" s="929">
        <v>2422.2010605032096</v>
      </c>
      <c r="BN33" s="929">
        <v>2513.0388232197347</v>
      </c>
      <c r="BO33" s="942">
        <v>2054.5300634892601</v>
      </c>
      <c r="BP33" s="943">
        <v>27295.891502952731</v>
      </c>
    </row>
    <row r="34" spans="2:68">
      <c r="B34" s="1740"/>
      <c r="C34" s="274" t="s">
        <v>1038</v>
      </c>
      <c r="D34" s="941">
        <v>1000</v>
      </c>
      <c r="E34" s="929">
        <v>1000</v>
      </c>
      <c r="F34" s="929">
        <v>1000</v>
      </c>
      <c r="G34" s="929">
        <v>1000</v>
      </c>
      <c r="H34" s="929">
        <v>1000</v>
      </c>
      <c r="I34" s="929">
        <v>1000</v>
      </c>
      <c r="J34" s="929">
        <v>1000</v>
      </c>
      <c r="K34" s="929">
        <v>1000</v>
      </c>
      <c r="L34" s="929">
        <v>1000</v>
      </c>
      <c r="M34" s="929">
        <v>1000</v>
      </c>
      <c r="N34" s="929">
        <v>1000</v>
      </c>
      <c r="O34" s="942">
        <v>1000</v>
      </c>
      <c r="P34" s="943">
        <v>12000</v>
      </c>
      <c r="Q34" s="941">
        <v>850</v>
      </c>
      <c r="R34" s="929">
        <v>850</v>
      </c>
      <c r="S34" s="929">
        <v>850</v>
      </c>
      <c r="T34" s="929">
        <v>850</v>
      </c>
      <c r="U34" s="929">
        <v>850</v>
      </c>
      <c r="V34" s="929">
        <v>850</v>
      </c>
      <c r="W34" s="929">
        <v>850</v>
      </c>
      <c r="X34" s="929">
        <v>850</v>
      </c>
      <c r="Y34" s="929">
        <v>850</v>
      </c>
      <c r="Z34" s="929">
        <v>850</v>
      </c>
      <c r="AA34" s="929">
        <v>850</v>
      </c>
      <c r="AB34" s="942">
        <v>850</v>
      </c>
      <c r="AC34" s="943">
        <v>10200</v>
      </c>
      <c r="AD34" s="921">
        <v>850</v>
      </c>
      <c r="AE34" s="968">
        <v>850</v>
      </c>
      <c r="AF34" s="968">
        <v>850</v>
      </c>
      <c r="AG34" s="968">
        <v>850</v>
      </c>
      <c r="AH34" s="968">
        <v>850</v>
      </c>
      <c r="AI34" s="968">
        <v>850</v>
      </c>
      <c r="AJ34" s="968">
        <v>850</v>
      </c>
      <c r="AK34" s="968">
        <v>850</v>
      </c>
      <c r="AL34" s="968">
        <v>850</v>
      </c>
      <c r="AM34" s="968">
        <v>850</v>
      </c>
      <c r="AN34" s="968">
        <v>850</v>
      </c>
      <c r="AO34" s="975">
        <v>850</v>
      </c>
      <c r="AP34" s="943">
        <v>10200</v>
      </c>
      <c r="AQ34" s="941">
        <v>750</v>
      </c>
      <c r="AR34" s="929">
        <v>750</v>
      </c>
      <c r="AS34" s="929">
        <v>750</v>
      </c>
      <c r="AT34" s="929">
        <v>750</v>
      </c>
      <c r="AU34" s="929">
        <v>750</v>
      </c>
      <c r="AV34" s="929">
        <v>750</v>
      </c>
      <c r="AW34" s="929">
        <v>750</v>
      </c>
      <c r="AX34" s="929">
        <v>750</v>
      </c>
      <c r="AY34" s="929">
        <v>750</v>
      </c>
      <c r="AZ34" s="929">
        <v>750</v>
      </c>
      <c r="BA34" s="929">
        <v>750</v>
      </c>
      <c r="BB34" s="942">
        <v>750</v>
      </c>
      <c r="BC34" s="943">
        <v>9000</v>
      </c>
      <c r="BD34" s="941">
        <v>750</v>
      </c>
      <c r="BE34" s="929">
        <v>750</v>
      </c>
      <c r="BF34" s="929">
        <v>750</v>
      </c>
      <c r="BG34" s="929">
        <v>750</v>
      </c>
      <c r="BH34" s="929">
        <v>750</v>
      </c>
      <c r="BI34" s="929">
        <v>750</v>
      </c>
      <c r="BJ34" s="929">
        <v>750</v>
      </c>
      <c r="BK34" s="929">
        <v>750</v>
      </c>
      <c r="BL34" s="929">
        <v>750</v>
      </c>
      <c r="BM34" s="929">
        <v>750</v>
      </c>
      <c r="BN34" s="929">
        <v>750</v>
      </c>
      <c r="BO34" s="942">
        <v>750</v>
      </c>
      <c r="BP34" s="943">
        <v>9000</v>
      </c>
    </row>
    <row r="35" spans="2:68" ht="15" thickBot="1">
      <c r="B35" s="1819"/>
      <c r="C35" s="275" t="s">
        <v>1040</v>
      </c>
      <c r="D35" s="934">
        <v>272.59730300579167</v>
      </c>
      <c r="E35" s="919">
        <v>272.59730300579167</v>
      </c>
      <c r="F35" s="919">
        <v>272.59730300579167</v>
      </c>
      <c r="G35" s="919">
        <v>272.59730300579167</v>
      </c>
      <c r="H35" s="919">
        <v>272.59730300579167</v>
      </c>
      <c r="I35" s="919">
        <v>272.59730300579167</v>
      </c>
      <c r="J35" s="919">
        <v>272.59730300579167</v>
      </c>
      <c r="K35" s="919">
        <v>272.59730300579167</v>
      </c>
      <c r="L35" s="919">
        <v>272.59730300579167</v>
      </c>
      <c r="M35" s="919">
        <v>272.59730300579167</v>
      </c>
      <c r="N35" s="919">
        <v>272.59730300579167</v>
      </c>
      <c r="O35" s="940">
        <v>272.59730300579167</v>
      </c>
      <c r="P35" s="935">
        <v>3271.1676360695001</v>
      </c>
      <c r="Q35" s="934">
        <v>1036.9427884686986</v>
      </c>
      <c r="R35" s="919">
        <v>1036.9427884686986</v>
      </c>
      <c r="S35" s="919">
        <v>1036.9427884686986</v>
      </c>
      <c r="T35" s="919">
        <v>1036.9427884686986</v>
      </c>
      <c r="U35" s="919">
        <v>1036.9427884686986</v>
      </c>
      <c r="V35" s="919">
        <v>1036.9427884686986</v>
      </c>
      <c r="W35" s="919">
        <v>1036.9427884686986</v>
      </c>
      <c r="X35" s="919">
        <v>1036.9427884686986</v>
      </c>
      <c r="Y35" s="919">
        <v>1036.9427884686986</v>
      </c>
      <c r="Z35" s="919">
        <v>1036.9427884686986</v>
      </c>
      <c r="AA35" s="919">
        <v>1036.9427884686986</v>
      </c>
      <c r="AB35" s="940">
        <v>1036.9427884686986</v>
      </c>
      <c r="AC35" s="935">
        <v>12443.313461624386</v>
      </c>
      <c r="AD35" s="937">
        <v>1154.4364095523977</v>
      </c>
      <c r="AE35" s="970">
        <v>1154.4364095523977</v>
      </c>
      <c r="AF35" s="970">
        <v>1154.4364095523977</v>
      </c>
      <c r="AG35" s="970">
        <v>1154.4364095523977</v>
      </c>
      <c r="AH35" s="970">
        <v>1154.4364095523977</v>
      </c>
      <c r="AI35" s="970">
        <v>1154.4364095523977</v>
      </c>
      <c r="AJ35" s="970">
        <v>1154.4364095523977</v>
      </c>
      <c r="AK35" s="970">
        <v>1154.4364095523977</v>
      </c>
      <c r="AL35" s="970">
        <v>1154.4364095523977</v>
      </c>
      <c r="AM35" s="970">
        <v>1154.4364095523977</v>
      </c>
      <c r="AN35" s="970">
        <v>1154.4364095523977</v>
      </c>
      <c r="AO35" s="976">
        <v>1154.4364095523977</v>
      </c>
      <c r="AP35" s="935">
        <v>13853.236914628773</v>
      </c>
      <c r="AQ35" s="934">
        <v>1691.4036091809146</v>
      </c>
      <c r="AR35" s="919">
        <v>1691.4036091809146</v>
      </c>
      <c r="AS35" s="919">
        <v>1691.4036091809146</v>
      </c>
      <c r="AT35" s="919">
        <v>1691.4036091809146</v>
      </c>
      <c r="AU35" s="919">
        <v>1691.4036091809146</v>
      </c>
      <c r="AV35" s="919">
        <v>1691.4036091809146</v>
      </c>
      <c r="AW35" s="919">
        <v>1691.4036091809146</v>
      </c>
      <c r="AX35" s="919">
        <v>1691.4036091809146</v>
      </c>
      <c r="AY35" s="919">
        <v>1691.4036091809146</v>
      </c>
      <c r="AZ35" s="919">
        <v>1691.4036091809146</v>
      </c>
      <c r="BA35" s="919">
        <v>1691.4036091809146</v>
      </c>
      <c r="BB35" s="940">
        <v>1691.4036091809146</v>
      </c>
      <c r="BC35" s="935">
        <v>20296.843310170971</v>
      </c>
      <c r="BD35" s="934">
        <v>2332.4778070376292</v>
      </c>
      <c r="BE35" s="919">
        <v>2332.4778070376292</v>
      </c>
      <c r="BF35" s="919">
        <v>2332.4778070376292</v>
      </c>
      <c r="BG35" s="919">
        <v>2332.4778070376292</v>
      </c>
      <c r="BH35" s="919">
        <v>2332.4778070376292</v>
      </c>
      <c r="BI35" s="919">
        <v>2332.4778070376292</v>
      </c>
      <c r="BJ35" s="919">
        <v>2332.4778070376292</v>
      </c>
      <c r="BK35" s="919">
        <v>2332.4778070376292</v>
      </c>
      <c r="BL35" s="919">
        <v>2332.4778070376292</v>
      </c>
      <c r="BM35" s="919">
        <v>2332.4778070376292</v>
      </c>
      <c r="BN35" s="919">
        <v>2332.4778070376292</v>
      </c>
      <c r="BO35" s="940">
        <v>2332.4778070376292</v>
      </c>
      <c r="BP35" s="935">
        <v>27989.733684451556</v>
      </c>
    </row>
    <row r="36" spans="2:68">
      <c r="B36" s="1727" t="s">
        <v>607</v>
      </c>
      <c r="C36" s="273" t="s">
        <v>1161</v>
      </c>
      <c r="D36" s="1264">
        <v>0</v>
      </c>
      <c r="E36" s="216">
        <v>0</v>
      </c>
      <c r="F36" s="216">
        <v>0</v>
      </c>
      <c r="G36" s="216">
        <v>0</v>
      </c>
      <c r="H36" s="216">
        <v>0</v>
      </c>
      <c r="I36" s="216">
        <v>0</v>
      </c>
      <c r="J36" s="216">
        <v>0</v>
      </c>
      <c r="K36" s="216">
        <v>0</v>
      </c>
      <c r="L36" s="216">
        <v>0</v>
      </c>
      <c r="M36" s="216">
        <v>0</v>
      </c>
      <c r="N36" s="216">
        <v>0</v>
      </c>
      <c r="O36" s="1265">
        <v>0</v>
      </c>
      <c r="P36" s="960">
        <v>0</v>
      </c>
      <c r="Q36" s="1264">
        <v>0</v>
      </c>
      <c r="R36" s="216">
        <v>0</v>
      </c>
      <c r="S36" s="216">
        <v>0</v>
      </c>
      <c r="T36" s="216">
        <v>0</v>
      </c>
      <c r="U36" s="216">
        <v>0</v>
      </c>
      <c r="V36" s="216">
        <v>0</v>
      </c>
      <c r="W36" s="216">
        <v>0</v>
      </c>
      <c r="X36" s="216">
        <v>0</v>
      </c>
      <c r="Y36" s="216">
        <v>0</v>
      </c>
      <c r="Z36" s="216">
        <v>0</v>
      </c>
      <c r="AA36" s="216">
        <v>0</v>
      </c>
      <c r="AB36" s="1265">
        <v>0</v>
      </c>
      <c r="AC36" s="1266">
        <v>0</v>
      </c>
      <c r="AD36" s="1267">
        <v>0</v>
      </c>
      <c r="AE36" s="821">
        <v>0</v>
      </c>
      <c r="AF36" s="821">
        <v>0</v>
      </c>
      <c r="AG36" s="821">
        <v>0</v>
      </c>
      <c r="AH36" s="821">
        <v>0</v>
      </c>
      <c r="AI36" s="821">
        <v>0</v>
      </c>
      <c r="AJ36" s="821">
        <v>0</v>
      </c>
      <c r="AK36" s="821">
        <v>0</v>
      </c>
      <c r="AL36" s="821">
        <v>0</v>
      </c>
      <c r="AM36" s="821">
        <v>0</v>
      </c>
      <c r="AN36" s="821">
        <v>0</v>
      </c>
      <c r="AO36" s="1268">
        <v>0</v>
      </c>
      <c r="AP36" s="1266">
        <v>0</v>
      </c>
      <c r="AQ36" s="1264">
        <v>0</v>
      </c>
      <c r="AR36" s="216">
        <v>0</v>
      </c>
      <c r="AS36" s="216">
        <v>0</v>
      </c>
      <c r="AT36" s="216">
        <v>0</v>
      </c>
      <c r="AU36" s="216">
        <v>0</v>
      </c>
      <c r="AV36" s="216">
        <v>0</v>
      </c>
      <c r="AW36" s="216">
        <v>0</v>
      </c>
      <c r="AX36" s="216">
        <v>0</v>
      </c>
      <c r="AY36" s="216">
        <v>0</v>
      </c>
      <c r="AZ36" s="216">
        <v>0</v>
      </c>
      <c r="BA36" s="216">
        <v>0</v>
      </c>
      <c r="BB36" s="1265">
        <v>0</v>
      </c>
      <c r="BC36" s="1266">
        <v>0</v>
      </c>
      <c r="BD36" s="1264">
        <v>0</v>
      </c>
      <c r="BE36" s="216">
        <v>0</v>
      </c>
      <c r="BF36" s="216">
        <v>0</v>
      </c>
      <c r="BG36" s="216">
        <v>0</v>
      </c>
      <c r="BH36" s="216">
        <v>0</v>
      </c>
      <c r="BI36" s="216">
        <v>0</v>
      </c>
      <c r="BJ36" s="216">
        <v>0</v>
      </c>
      <c r="BK36" s="216">
        <v>0</v>
      </c>
      <c r="BL36" s="216">
        <v>0</v>
      </c>
      <c r="BM36" s="216">
        <v>0</v>
      </c>
      <c r="BN36" s="216">
        <v>0</v>
      </c>
      <c r="BO36" s="1265">
        <v>0</v>
      </c>
      <c r="BP36" s="1266">
        <v>0</v>
      </c>
    </row>
    <row r="37" spans="2:68">
      <c r="B37" s="1728"/>
      <c r="C37" s="274" t="s">
        <v>1162</v>
      </c>
      <c r="D37" s="1120">
        <v>0</v>
      </c>
      <c r="E37" s="212">
        <v>0</v>
      </c>
      <c r="F37" s="212">
        <v>0</v>
      </c>
      <c r="G37" s="212">
        <v>0</v>
      </c>
      <c r="H37" s="212">
        <v>0</v>
      </c>
      <c r="I37" s="212">
        <v>0</v>
      </c>
      <c r="J37" s="212">
        <v>0</v>
      </c>
      <c r="K37" s="212">
        <v>0</v>
      </c>
      <c r="L37" s="212">
        <v>0</v>
      </c>
      <c r="M37" s="212">
        <v>0</v>
      </c>
      <c r="N37" s="212">
        <v>0</v>
      </c>
      <c r="O37" s="1097">
        <v>0</v>
      </c>
      <c r="P37" s="943">
        <v>0</v>
      </c>
      <c r="Q37" s="1120">
        <v>5805.2676137888375</v>
      </c>
      <c r="R37" s="212">
        <v>5805.2676137888375</v>
      </c>
      <c r="S37" s="212">
        <v>5805.2676137888375</v>
      </c>
      <c r="T37" s="212">
        <v>5805.2676137888375</v>
      </c>
      <c r="U37" s="212">
        <v>5805.2676137888375</v>
      </c>
      <c r="V37" s="212">
        <v>5805.2676137888375</v>
      </c>
      <c r="W37" s="212">
        <v>5805.2676137888375</v>
      </c>
      <c r="X37" s="212">
        <v>5805.2676137888375</v>
      </c>
      <c r="Y37" s="212">
        <v>5805.2676137888375</v>
      </c>
      <c r="Z37" s="212">
        <v>5805.2676137888375</v>
      </c>
      <c r="AA37" s="212">
        <v>5805.2676137888375</v>
      </c>
      <c r="AB37" s="1097">
        <v>5805.2676137888375</v>
      </c>
      <c r="AC37" s="1132">
        <v>69663.21136546605</v>
      </c>
      <c r="AD37" s="1131">
        <v>0</v>
      </c>
      <c r="AE37" s="193">
        <v>0</v>
      </c>
      <c r="AF37" s="193">
        <v>0</v>
      </c>
      <c r="AG37" s="193">
        <v>0</v>
      </c>
      <c r="AH37" s="193">
        <v>0</v>
      </c>
      <c r="AI37" s="193">
        <v>0</v>
      </c>
      <c r="AJ37" s="193">
        <v>0</v>
      </c>
      <c r="AK37" s="193">
        <v>0</v>
      </c>
      <c r="AL37" s="193">
        <v>0</v>
      </c>
      <c r="AM37" s="193">
        <v>0</v>
      </c>
      <c r="AN37" s="193">
        <v>0</v>
      </c>
      <c r="AO37" s="1155">
        <v>0</v>
      </c>
      <c r="AP37" s="1132">
        <v>0</v>
      </c>
      <c r="AQ37" s="1120">
        <v>0</v>
      </c>
      <c r="AR37" s="212">
        <v>0</v>
      </c>
      <c r="AS37" s="212">
        <v>0</v>
      </c>
      <c r="AT37" s="212">
        <v>0</v>
      </c>
      <c r="AU37" s="212">
        <v>0</v>
      </c>
      <c r="AV37" s="212">
        <v>0</v>
      </c>
      <c r="AW37" s="212">
        <v>0</v>
      </c>
      <c r="AX37" s="212">
        <v>0</v>
      </c>
      <c r="AY37" s="212">
        <v>0</v>
      </c>
      <c r="AZ37" s="212">
        <v>0</v>
      </c>
      <c r="BA37" s="212">
        <v>0</v>
      </c>
      <c r="BB37" s="1097">
        <v>0</v>
      </c>
      <c r="BC37" s="1132">
        <v>0</v>
      </c>
      <c r="BD37" s="1120">
        <v>0</v>
      </c>
      <c r="BE37" s="212">
        <v>0</v>
      </c>
      <c r="BF37" s="212">
        <v>0</v>
      </c>
      <c r="BG37" s="212">
        <v>0</v>
      </c>
      <c r="BH37" s="212">
        <v>0</v>
      </c>
      <c r="BI37" s="212">
        <v>0</v>
      </c>
      <c r="BJ37" s="212">
        <v>0</v>
      </c>
      <c r="BK37" s="212">
        <v>0</v>
      </c>
      <c r="BL37" s="212">
        <v>0</v>
      </c>
      <c r="BM37" s="212">
        <v>0</v>
      </c>
      <c r="BN37" s="212">
        <v>0</v>
      </c>
      <c r="BO37" s="1097">
        <v>0</v>
      </c>
      <c r="BP37" s="1132">
        <v>0</v>
      </c>
    </row>
    <row r="38" spans="2:68">
      <c r="B38" s="1728"/>
      <c r="C38" s="274" t="s">
        <v>1163</v>
      </c>
      <c r="D38" s="1120">
        <v>0</v>
      </c>
      <c r="E38" s="212">
        <v>0</v>
      </c>
      <c r="F38" s="212">
        <v>0</v>
      </c>
      <c r="G38" s="212">
        <v>0</v>
      </c>
      <c r="H38" s="212">
        <v>0</v>
      </c>
      <c r="I38" s="212">
        <v>0</v>
      </c>
      <c r="J38" s="212">
        <v>0</v>
      </c>
      <c r="K38" s="212">
        <v>0</v>
      </c>
      <c r="L38" s="212">
        <v>0</v>
      </c>
      <c r="M38" s="212">
        <v>0</v>
      </c>
      <c r="N38" s="212">
        <v>0</v>
      </c>
      <c r="O38" s="1097">
        <v>0</v>
      </c>
      <c r="P38" s="943">
        <v>0</v>
      </c>
      <c r="Q38" s="1120">
        <v>0</v>
      </c>
      <c r="R38" s="212">
        <v>0</v>
      </c>
      <c r="S38" s="212">
        <v>0</v>
      </c>
      <c r="T38" s="212">
        <v>0</v>
      </c>
      <c r="U38" s="212">
        <v>0</v>
      </c>
      <c r="V38" s="212">
        <v>0</v>
      </c>
      <c r="W38" s="212">
        <v>0</v>
      </c>
      <c r="X38" s="212">
        <v>0</v>
      </c>
      <c r="Y38" s="212">
        <v>0</v>
      </c>
      <c r="Z38" s="212">
        <v>0</v>
      </c>
      <c r="AA38" s="212">
        <v>0</v>
      </c>
      <c r="AB38" s="1097">
        <v>0</v>
      </c>
      <c r="AC38" s="1132">
        <v>0</v>
      </c>
      <c r="AD38" s="1131">
        <v>18525.947483179796</v>
      </c>
      <c r="AE38" s="193">
        <v>18525.947483179796</v>
      </c>
      <c r="AF38" s="193">
        <v>18525.947483179796</v>
      </c>
      <c r="AG38" s="193">
        <v>18525.947483179796</v>
      </c>
      <c r="AH38" s="193">
        <v>18525.947483179796</v>
      </c>
      <c r="AI38" s="193">
        <v>18525.947483179796</v>
      </c>
      <c r="AJ38" s="193">
        <v>18525.947483179796</v>
      </c>
      <c r="AK38" s="193">
        <v>18525.947483179796</v>
      </c>
      <c r="AL38" s="193">
        <v>18525.947483179796</v>
      </c>
      <c r="AM38" s="193">
        <v>18525.947483179796</v>
      </c>
      <c r="AN38" s="193">
        <v>18525.947483179796</v>
      </c>
      <c r="AO38" s="1155">
        <v>18525.947483179796</v>
      </c>
      <c r="AP38" s="1132">
        <v>222311.36979815754</v>
      </c>
      <c r="AQ38" s="1120">
        <v>37798.253881951583</v>
      </c>
      <c r="AR38" s="212">
        <v>37798.253881951583</v>
      </c>
      <c r="AS38" s="212">
        <v>37798.253881951583</v>
      </c>
      <c r="AT38" s="212">
        <v>37798.253881951583</v>
      </c>
      <c r="AU38" s="212">
        <v>37798.253881951583</v>
      </c>
      <c r="AV38" s="212">
        <v>37798.253881951583</v>
      </c>
      <c r="AW38" s="212">
        <v>37798.253881951583</v>
      </c>
      <c r="AX38" s="212">
        <v>37798.253881951583</v>
      </c>
      <c r="AY38" s="212">
        <v>37798.253881951583</v>
      </c>
      <c r="AZ38" s="212">
        <v>37798.253881951583</v>
      </c>
      <c r="BA38" s="212">
        <v>37798.253881951583</v>
      </c>
      <c r="BB38" s="1097">
        <v>37798.253881951583</v>
      </c>
      <c r="BC38" s="1132">
        <v>453579.04658341897</v>
      </c>
      <c r="BD38" s="1120">
        <v>61944.643911589308</v>
      </c>
      <c r="BE38" s="212">
        <v>61944.643911589308</v>
      </c>
      <c r="BF38" s="212">
        <v>61944.643911589308</v>
      </c>
      <c r="BG38" s="212">
        <v>61944.643911589308</v>
      </c>
      <c r="BH38" s="212">
        <v>61944.643911589308</v>
      </c>
      <c r="BI38" s="212">
        <v>61944.643911589308</v>
      </c>
      <c r="BJ38" s="212">
        <v>61944.643911589308</v>
      </c>
      <c r="BK38" s="212">
        <v>61944.643911589308</v>
      </c>
      <c r="BL38" s="212">
        <v>61944.643911589308</v>
      </c>
      <c r="BM38" s="212">
        <v>61944.643911589308</v>
      </c>
      <c r="BN38" s="212">
        <v>61944.643911589308</v>
      </c>
      <c r="BO38" s="1097">
        <v>61944.643911589308</v>
      </c>
      <c r="BP38" s="1132">
        <v>743335.72693907167</v>
      </c>
    </row>
    <row r="39" spans="2:68" ht="15" thickBot="1">
      <c r="B39" s="1729"/>
      <c r="C39" s="275" t="s">
        <v>1164</v>
      </c>
      <c r="D39" s="1121">
        <v>0</v>
      </c>
      <c r="E39" s="1121">
        <v>0</v>
      </c>
      <c r="F39" s="1121">
        <v>84.95918240831331</v>
      </c>
      <c r="G39" s="1121">
        <v>121.19529825262381</v>
      </c>
      <c r="H39" s="1121">
        <v>209.87874289923451</v>
      </c>
      <c r="I39" s="1121">
        <v>374.19918552945398</v>
      </c>
      <c r="J39" s="1121">
        <v>511.39358301944685</v>
      </c>
      <c r="K39" s="1121">
        <v>720.68070578145114</v>
      </c>
      <c r="L39" s="1121">
        <v>734.5917443833639</v>
      </c>
      <c r="M39" s="1121">
        <v>795.39662864558147</v>
      </c>
      <c r="N39" s="1121">
        <v>923.0512796323851</v>
      </c>
      <c r="O39" s="1121">
        <v>794.98892158714227</v>
      </c>
      <c r="P39" s="935">
        <v>5270.3352721389974</v>
      </c>
      <c r="Q39" s="1121">
        <v>1621.4184502143428</v>
      </c>
      <c r="R39" s="1121">
        <v>1618.8319734600714</v>
      </c>
      <c r="S39" s="1121">
        <v>1907.1655549309135</v>
      </c>
      <c r="T39" s="1121">
        <v>1813.2830110151478</v>
      </c>
      <c r="U39" s="1121">
        <v>1883.6208915290267</v>
      </c>
      <c r="V39" s="1121">
        <v>2098.470281730094</v>
      </c>
      <c r="W39" s="1121">
        <v>2085.2033910277987</v>
      </c>
      <c r="X39" s="1121">
        <v>2308.3277863243338</v>
      </c>
      <c r="Y39" s="1121">
        <v>2195.5084015848306</v>
      </c>
      <c r="Z39" s="1121">
        <v>2097.0739416827469</v>
      </c>
      <c r="AA39" s="1121">
        <v>2176.9609362142251</v>
      </c>
      <c r="AB39" s="1121">
        <v>1780.7783035352386</v>
      </c>
      <c r="AC39" s="1133">
        <v>23586.642923248768</v>
      </c>
      <c r="AD39" s="1121">
        <v>2723.368345901893</v>
      </c>
      <c r="AE39" s="1121">
        <v>2718.4111019901211</v>
      </c>
      <c r="AF39" s="1121">
        <v>3201.87731036884</v>
      </c>
      <c r="AG39" s="1121">
        <v>3043.5864928045166</v>
      </c>
      <c r="AH39" s="1121">
        <v>3160.953735655467</v>
      </c>
      <c r="AI39" s="1121">
        <v>3520.7311353924397</v>
      </c>
      <c r="AJ39" s="1121">
        <v>3497.7169248901382</v>
      </c>
      <c r="AK39" s="1121">
        <v>3871.1562836682065</v>
      </c>
      <c r="AL39" s="1121">
        <v>3681.1719082637792</v>
      </c>
      <c r="AM39" s="1121">
        <v>3515.3881253843401</v>
      </c>
      <c r="AN39" s="1121">
        <v>3648.5430696151602</v>
      </c>
      <c r="AO39" s="1121">
        <v>2983.9308379514005</v>
      </c>
      <c r="AP39" s="1133">
        <v>39566.83527188631</v>
      </c>
      <c r="AQ39" s="1121">
        <v>4055.4920896252311</v>
      </c>
      <c r="AR39" s="1121">
        <v>4047.2854993217293</v>
      </c>
      <c r="AS39" s="1121">
        <v>4766.1274290664742</v>
      </c>
      <c r="AT39" s="1121">
        <v>4529.5972065456108</v>
      </c>
      <c r="AU39" s="1121">
        <v>4703.3332982577094</v>
      </c>
      <c r="AV39" s="1121">
        <v>5237.6304893171673</v>
      </c>
      <c r="AW39" s="1121">
        <v>5202.3758200177463</v>
      </c>
      <c r="AX39" s="1121">
        <v>5756.6989626803143</v>
      </c>
      <c r="AY39" s="1121">
        <v>5473.1246345297768</v>
      </c>
      <c r="AZ39" s="1121">
        <v>5225.6414762163413</v>
      </c>
      <c r="BA39" s="1121">
        <v>5422.5498531390158</v>
      </c>
      <c r="BB39" s="1121">
        <v>4433.9544394117875</v>
      </c>
      <c r="BC39" s="1133">
        <v>58853.811198128911</v>
      </c>
      <c r="BD39" s="1121">
        <v>5648.5418139946423</v>
      </c>
      <c r="BE39" s="1121">
        <v>5636.0690411152746</v>
      </c>
      <c r="BF39" s="1121">
        <v>6635.8783283691382</v>
      </c>
      <c r="BG39" s="1121">
        <v>6305.4091143506166</v>
      </c>
      <c r="BH39" s="1121">
        <v>6546.0749822544412</v>
      </c>
      <c r="BI39" s="1121">
        <v>7288.4002660477036</v>
      </c>
      <c r="BJ39" s="1121">
        <v>7238.0540144071074</v>
      </c>
      <c r="BK39" s="1121">
        <v>8007.8687485443943</v>
      </c>
      <c r="BL39" s="1121">
        <v>7612.0683581382655</v>
      </c>
      <c r="BM39" s="1121">
        <v>7266.6031815096285</v>
      </c>
      <c r="BN39" s="1121">
        <v>7539.1164696592032</v>
      </c>
      <c r="BO39" s="1121">
        <v>6163.5901904677803</v>
      </c>
      <c r="BP39" s="1133">
        <v>81887.674508858196</v>
      </c>
    </row>
    <row r="40" spans="2:68" ht="15" thickBot="1">
      <c r="B40" s="302"/>
      <c r="C40" s="327"/>
      <c r="D40" s="922"/>
      <c r="E40" s="923"/>
      <c r="F40" s="923"/>
      <c r="G40" s="923"/>
      <c r="H40" s="923"/>
      <c r="I40" s="923"/>
      <c r="J40" s="923"/>
      <c r="K40" s="923"/>
      <c r="L40" s="923"/>
      <c r="M40" s="923"/>
      <c r="N40" s="923"/>
      <c r="O40" s="924"/>
      <c r="P40" s="925"/>
      <c r="Q40" s="957"/>
      <c r="R40" s="952"/>
      <c r="S40" s="952"/>
      <c r="T40" s="952"/>
      <c r="U40" s="952"/>
      <c r="V40" s="952"/>
      <c r="W40" s="952"/>
      <c r="X40" s="952"/>
      <c r="Y40" s="952"/>
      <c r="Z40" s="952"/>
      <c r="AA40" s="952"/>
      <c r="AB40" s="953"/>
      <c r="AC40" s="954"/>
      <c r="AD40" s="955"/>
      <c r="AE40" s="955"/>
      <c r="AF40" s="955"/>
      <c r="AG40" s="955"/>
      <c r="AH40" s="955"/>
      <c r="AI40" s="955"/>
      <c r="AJ40" s="955"/>
      <c r="AK40" s="955"/>
      <c r="AL40" s="955"/>
      <c r="AM40" s="955"/>
      <c r="AN40" s="955"/>
      <c r="AO40" s="956"/>
      <c r="AP40" s="954"/>
      <c r="AQ40" s="957"/>
      <c r="AR40" s="952"/>
      <c r="AS40" s="952"/>
      <c r="AT40" s="952"/>
      <c r="AU40" s="952"/>
      <c r="AV40" s="952"/>
      <c r="AW40" s="952"/>
      <c r="AX40" s="952"/>
      <c r="AY40" s="952"/>
      <c r="AZ40" s="952"/>
      <c r="BA40" s="952"/>
      <c r="BB40" s="953"/>
      <c r="BC40" s="954"/>
      <c r="BD40" s="957"/>
      <c r="BE40" s="952"/>
      <c r="BF40" s="952"/>
      <c r="BG40" s="952"/>
      <c r="BH40" s="952"/>
      <c r="BI40" s="952"/>
      <c r="BJ40" s="952"/>
      <c r="BK40" s="952"/>
      <c r="BL40" s="952"/>
      <c r="BM40" s="952"/>
      <c r="BN40" s="952"/>
      <c r="BO40" s="953"/>
      <c r="BP40" s="954"/>
    </row>
    <row r="41" spans="2:68">
      <c r="B41" s="304" t="s">
        <v>1165</v>
      </c>
      <c r="C41" s="326"/>
      <c r="D41" s="958">
        <v>22370.4409935984</v>
      </c>
      <c r="E41" s="958">
        <v>22370.4409935984</v>
      </c>
      <c r="F41" s="958">
        <v>71875.5468078821</v>
      </c>
      <c r="G41" s="958">
        <v>67565.574580433415</v>
      </c>
      <c r="H41" s="958">
        <v>70183.367205289062</v>
      </c>
      <c r="I41" s="958">
        <v>68661.924758633002</v>
      </c>
      <c r="J41" s="958">
        <v>72048.305936990073</v>
      </c>
      <c r="K41" s="958">
        <v>77701.399410656159</v>
      </c>
      <c r="L41" s="958">
        <v>75388.589273749065</v>
      </c>
      <c r="M41" s="958">
        <v>75652.077105552016</v>
      </c>
      <c r="N41" s="958">
        <v>73832.155955646129</v>
      </c>
      <c r="O41" s="959">
        <v>78023.401679147486</v>
      </c>
      <c r="P41" s="932">
        <v>775673.22470117558</v>
      </c>
      <c r="Q41" s="931">
        <v>85695.001539254532</v>
      </c>
      <c r="R41" s="958">
        <v>83260.212576830701</v>
      </c>
      <c r="S41" s="958">
        <v>88696.111757602906</v>
      </c>
      <c r="T41" s="958">
        <v>83649.11465194085</v>
      </c>
      <c r="U41" s="958">
        <v>86219.406421883905</v>
      </c>
      <c r="V41" s="958">
        <v>84219.489193370769</v>
      </c>
      <c r="W41" s="958">
        <v>84192.955411966163</v>
      </c>
      <c r="X41" s="958">
        <v>89498.436220389747</v>
      </c>
      <c r="Y41" s="958">
        <v>86843.18144199549</v>
      </c>
      <c r="Z41" s="958">
        <v>86646.312522191321</v>
      </c>
      <c r="AA41" s="958">
        <v>84376.470502339012</v>
      </c>
      <c r="AB41" s="959">
        <v>88443.337254811559</v>
      </c>
      <c r="AC41" s="960">
        <v>1031740.0294945769</v>
      </c>
      <c r="AD41" s="944">
        <v>162472.37497879966</v>
      </c>
      <c r="AE41" s="959">
        <v>157485.83181845228</v>
      </c>
      <c r="AF41" s="959">
        <v>168248.17100673899</v>
      </c>
      <c r="AG41" s="959">
        <v>158027.79080314294</v>
      </c>
      <c r="AH41" s="959">
        <v>163201.68396172227</v>
      </c>
      <c r="AI41" s="959">
        <v>158823.03187412283</v>
      </c>
      <c r="AJ41" s="959">
        <v>158784.67485661898</v>
      </c>
      <c r="AK41" s="959">
        <v>169363.63596223792</v>
      </c>
      <c r="AL41" s="959">
        <v>164068.71424940281</v>
      </c>
      <c r="AM41" s="959">
        <v>163792.40794460374</v>
      </c>
      <c r="AN41" s="959">
        <v>159036.05176449401</v>
      </c>
      <c r="AO41" s="959">
        <v>167884.92688604325</v>
      </c>
      <c r="AP41" s="943">
        <v>1951189.2961063797</v>
      </c>
      <c r="AQ41" s="944">
        <v>248915.30220677305</v>
      </c>
      <c r="AR41" s="959">
        <v>241117.31479537292</v>
      </c>
      <c r="AS41" s="959">
        <v>257649.86128369017</v>
      </c>
      <c r="AT41" s="959">
        <v>241760.39707167141</v>
      </c>
      <c r="AU41" s="959">
        <v>249779.09048494964</v>
      </c>
      <c r="AV41" s="959">
        <v>242704.44144870018</v>
      </c>
      <c r="AW41" s="959">
        <v>246118.34424118779</v>
      </c>
      <c r="AX41" s="959">
        <v>262777.62324855087</v>
      </c>
      <c r="AY41" s="959">
        <v>254439.43340244365</v>
      </c>
      <c r="AZ41" s="959">
        <v>254109.45585802573</v>
      </c>
      <c r="BA41" s="959">
        <v>246411.90961868281</v>
      </c>
      <c r="BB41" s="959">
        <v>261013.96388419284</v>
      </c>
      <c r="BC41" s="932">
        <v>3006797.1375442422</v>
      </c>
      <c r="BD41" s="944">
        <v>291579.81263346883</v>
      </c>
      <c r="BE41" s="959">
        <v>283183.52633779671</v>
      </c>
      <c r="BF41" s="959">
        <v>301275.91725113447</v>
      </c>
      <c r="BG41" s="959">
        <v>284075.97976877715</v>
      </c>
      <c r="BH41" s="959">
        <v>292776.52352448186</v>
      </c>
      <c r="BI41" s="959">
        <v>285386.63463770656</v>
      </c>
      <c r="BJ41" s="959">
        <v>285319.50630218576</v>
      </c>
      <c r="BK41" s="959">
        <v>303105.23781136813</v>
      </c>
      <c r="BL41" s="959">
        <v>294197.84802566032</v>
      </c>
      <c r="BM41" s="959">
        <v>293737.22779015545</v>
      </c>
      <c r="BN41" s="959">
        <v>285720.92290918861</v>
      </c>
      <c r="BO41" s="959">
        <v>300646.19973393262</v>
      </c>
      <c r="BP41" s="943">
        <v>3501005.3367258557</v>
      </c>
    </row>
    <row r="42" spans="2:68">
      <c r="B42" s="303" t="s">
        <v>1166</v>
      </c>
      <c r="C42" s="279"/>
      <c r="D42" s="961">
        <v>-22370.4409935984</v>
      </c>
      <c r="E42" s="961">
        <v>-22370.4409935984</v>
      </c>
      <c r="F42" s="961">
        <v>-71875.5468078821</v>
      </c>
      <c r="G42" s="961">
        <v>-64733.601833489636</v>
      </c>
      <c r="H42" s="961">
        <v>-63311.55118325782</v>
      </c>
      <c r="I42" s="961">
        <v>-57626.123386904386</v>
      </c>
      <c r="J42" s="961">
        <v>-52579.041656033784</v>
      </c>
      <c r="K42" s="961">
        <v>-48181.640459026123</v>
      </c>
      <c r="L42" s="961">
        <v>-34319.44631371912</v>
      </c>
      <c r="M42" s="961">
        <v>-27142.995433391501</v>
      </c>
      <c r="N42" s="961">
        <v>-22832.543521347936</v>
      </c>
      <c r="O42" s="962">
        <v>-20741.804736548584</v>
      </c>
      <c r="P42" s="943">
        <v>-508085.17731879803</v>
      </c>
      <c r="Q42" s="971">
        <v>-28426.994831936936</v>
      </c>
      <c r="R42" s="963">
        <v>-2713.3001834478637</v>
      </c>
      <c r="S42" s="963">
        <v>19312.235698210905</v>
      </c>
      <c r="T42" s="963">
        <v>33884.13629442532</v>
      </c>
      <c r="U42" s="963">
        <v>37795.545776318148</v>
      </c>
      <c r="V42" s="963">
        <v>39010.640891435061</v>
      </c>
      <c r="W42" s="963">
        <v>48543.417030004523</v>
      </c>
      <c r="X42" s="963">
        <v>49957.352871539988</v>
      </c>
      <c r="Y42" s="963">
        <v>59607.857803075574</v>
      </c>
      <c r="Z42" s="963">
        <v>63481.560408114165</v>
      </c>
      <c r="AA42" s="963">
        <v>58709.607606580248</v>
      </c>
      <c r="AB42" s="962">
        <v>54024.492008420857</v>
      </c>
      <c r="AC42" s="943">
        <v>433186.55137274042</v>
      </c>
      <c r="AD42" s="945">
        <v>-30547.73365381753</v>
      </c>
      <c r="AE42" s="962">
        <v>-7347.6101705478795</v>
      </c>
      <c r="AF42" s="962">
        <v>13144.477256328159</v>
      </c>
      <c r="AG42" s="962">
        <v>39315.156275489106</v>
      </c>
      <c r="AH42" s="962">
        <v>44980.442810722947</v>
      </c>
      <c r="AI42" s="962">
        <v>47994.975741209957</v>
      </c>
      <c r="AJ42" s="962">
        <v>63938.154178311263</v>
      </c>
      <c r="AK42" s="962">
        <v>64584.632713848026</v>
      </c>
      <c r="AL42" s="962">
        <v>81560.392702542013</v>
      </c>
      <c r="AM42" s="962">
        <v>87951.86511979581</v>
      </c>
      <c r="AN42" s="962">
        <v>80849.282690443302</v>
      </c>
      <c r="AO42" s="962">
        <v>70912.779613940103</v>
      </c>
      <c r="AP42" s="943">
        <v>557336.81527826539</v>
      </c>
      <c r="AQ42" s="945">
        <v>-27832.838621221017</v>
      </c>
      <c r="AR42" s="962">
        <v>-6469.8838761518418</v>
      </c>
      <c r="AS42" s="962">
        <v>12442.725014541851</v>
      </c>
      <c r="AT42" s="962">
        <v>52020.033874602086</v>
      </c>
      <c r="AU42" s="962">
        <v>60078.397368786565</v>
      </c>
      <c r="AV42" s="962">
        <v>65059.908711410564</v>
      </c>
      <c r="AW42" s="962">
        <v>85247.115344641497</v>
      </c>
      <c r="AX42" s="962">
        <v>85222.587062612933</v>
      </c>
      <c r="AY42" s="962">
        <v>110863.05935415835</v>
      </c>
      <c r="AZ42" s="962">
        <v>120217.99738231066</v>
      </c>
      <c r="BA42" s="962">
        <v>110213.62740618782</v>
      </c>
      <c r="BB42" s="962">
        <v>93925.747094319115</v>
      </c>
      <c r="BC42" s="943">
        <v>760988.47611619672</v>
      </c>
      <c r="BD42" s="945">
        <v>36970.330451557937</v>
      </c>
      <c r="BE42" s="962">
        <v>52899.68210908433</v>
      </c>
      <c r="BF42" s="962">
        <v>74877.777919196116</v>
      </c>
      <c r="BG42" s="962">
        <v>124988.93254736997</v>
      </c>
      <c r="BH42" s="962">
        <v>138599.72456617671</v>
      </c>
      <c r="BI42" s="962">
        <v>142996.16858246212</v>
      </c>
      <c r="BJ42" s="962">
        <v>175829.66864121909</v>
      </c>
      <c r="BK42" s="962">
        <v>181109.90487045894</v>
      </c>
      <c r="BL42" s="962">
        <v>213999.5774060564</v>
      </c>
      <c r="BM42" s="962">
        <v>226927.34243259992</v>
      </c>
      <c r="BN42" s="962">
        <v>210234.79507907457</v>
      </c>
      <c r="BO42" s="962">
        <v>192877.78863836179</v>
      </c>
      <c r="BP42" s="943">
        <v>1772311.6932436186</v>
      </c>
    </row>
    <row r="43" spans="2:68" ht="15" thickBot="1">
      <c r="B43" s="325" t="s">
        <v>1167</v>
      </c>
      <c r="C43" s="280"/>
      <c r="D43" s="936">
        <v>-22370.4409935984</v>
      </c>
      <c r="E43" s="919">
        <v>-44740.881987196801</v>
      </c>
      <c r="F43" s="919">
        <v>-116616.4287950789</v>
      </c>
      <c r="G43" s="919">
        <v>-181350.03062856855</v>
      </c>
      <c r="H43" s="919">
        <v>-244661.58181182639</v>
      </c>
      <c r="I43" s="919">
        <v>-302287.70519873075</v>
      </c>
      <c r="J43" s="919">
        <v>-354866.74685476453</v>
      </c>
      <c r="K43" s="919">
        <v>-403048.38731379062</v>
      </c>
      <c r="L43" s="919">
        <v>-437367.83362750977</v>
      </c>
      <c r="M43" s="919">
        <v>-464510.82906090125</v>
      </c>
      <c r="N43" s="919">
        <v>-487343.37258224917</v>
      </c>
      <c r="O43" s="940">
        <v>-508085.17731879774</v>
      </c>
      <c r="P43" s="935">
        <v>-508085.17731879803</v>
      </c>
      <c r="Q43" s="972">
        <v>-536512.1721507347</v>
      </c>
      <c r="R43" s="964">
        <v>-539225.47233418259</v>
      </c>
      <c r="S43" s="964">
        <v>-519913.2366359717</v>
      </c>
      <c r="T43" s="964">
        <v>-486029.10034154635</v>
      </c>
      <c r="U43" s="964">
        <v>-448233.55456522817</v>
      </c>
      <c r="V43" s="964">
        <v>-409222.91367379308</v>
      </c>
      <c r="W43" s="964">
        <v>-360679.49664378853</v>
      </c>
      <c r="X43" s="964">
        <v>-310722.14377224853</v>
      </c>
      <c r="Y43" s="964">
        <v>-251114.28596917295</v>
      </c>
      <c r="Z43" s="964">
        <v>-187632.72556105879</v>
      </c>
      <c r="AA43" s="964">
        <v>-128923.11795447854</v>
      </c>
      <c r="AB43" s="940">
        <v>-74898.625946057684</v>
      </c>
      <c r="AC43" s="935">
        <v>-74898.625946057611</v>
      </c>
      <c r="AD43" s="951">
        <v>-105446.35959987514</v>
      </c>
      <c r="AE43" s="940">
        <v>-112793.96977042302</v>
      </c>
      <c r="AF43" s="940">
        <v>-99649.492514094862</v>
      </c>
      <c r="AG43" s="940">
        <v>-60334.336238605756</v>
      </c>
      <c r="AH43" s="940">
        <v>-15353.893427882809</v>
      </c>
      <c r="AI43" s="940">
        <v>32641.082313327148</v>
      </c>
      <c r="AJ43" s="940">
        <v>96579.23649163841</v>
      </c>
      <c r="AK43" s="940">
        <v>161163.86920548644</v>
      </c>
      <c r="AL43" s="940">
        <v>242724.26190802845</v>
      </c>
      <c r="AM43" s="940">
        <v>330676.12702782429</v>
      </c>
      <c r="AN43" s="940">
        <v>411525.40971826762</v>
      </c>
      <c r="AO43" s="940">
        <v>482438.18933220772</v>
      </c>
      <c r="AP43" s="935">
        <v>482438.18933220778</v>
      </c>
      <c r="AQ43" s="951">
        <v>454605.35071098676</v>
      </c>
      <c r="AR43" s="940">
        <v>448135.46683483489</v>
      </c>
      <c r="AS43" s="940">
        <v>460578.19184937677</v>
      </c>
      <c r="AT43" s="940">
        <v>512598.22572397883</v>
      </c>
      <c r="AU43" s="940">
        <v>572676.62309276545</v>
      </c>
      <c r="AV43" s="940">
        <v>637736.53180417605</v>
      </c>
      <c r="AW43" s="940">
        <v>722983.64714881754</v>
      </c>
      <c r="AX43" s="940">
        <v>808206.23421143042</v>
      </c>
      <c r="AY43" s="940">
        <v>919069.29356558877</v>
      </c>
      <c r="AZ43" s="940">
        <v>1039287.2909478995</v>
      </c>
      <c r="BA43" s="940">
        <v>1149500.9183540873</v>
      </c>
      <c r="BB43" s="940">
        <v>1243426.6654484065</v>
      </c>
      <c r="BC43" s="935">
        <v>1243426.6654484044</v>
      </c>
      <c r="BD43" s="951">
        <v>1280396.9958999623</v>
      </c>
      <c r="BE43" s="940">
        <v>1333296.6780090467</v>
      </c>
      <c r="BF43" s="940">
        <v>1408174.4559282428</v>
      </c>
      <c r="BG43" s="940">
        <v>1533163.3884756127</v>
      </c>
      <c r="BH43" s="940">
        <v>1671763.1130417895</v>
      </c>
      <c r="BI43" s="940">
        <v>1814759.2816242515</v>
      </c>
      <c r="BJ43" s="940">
        <v>1990588.9502654707</v>
      </c>
      <c r="BK43" s="940">
        <v>2171698.8551359298</v>
      </c>
      <c r="BL43" s="940">
        <v>2385698.432541986</v>
      </c>
      <c r="BM43" s="940">
        <v>2612625.774974586</v>
      </c>
      <c r="BN43" s="940">
        <v>2822860.5700536603</v>
      </c>
      <c r="BO43" s="940">
        <v>3015738.358692022</v>
      </c>
      <c r="BP43" s="935">
        <v>3015738.358692023</v>
      </c>
    </row>
    <row r="44" spans="2:68" ht="15" thickBot="1">
      <c r="B44" s="1373"/>
      <c r="C44" s="1294"/>
      <c r="D44" s="1295"/>
      <c r="E44" s="1295"/>
      <c r="F44" s="1295"/>
      <c r="G44" s="1295"/>
      <c r="H44" s="1295"/>
      <c r="I44" s="1295"/>
      <c r="J44" s="1295"/>
      <c r="K44" s="1295"/>
      <c r="L44" s="1295"/>
      <c r="M44" s="1295"/>
      <c r="N44" s="1295"/>
      <c r="O44" s="1295"/>
      <c r="P44" s="1295"/>
      <c r="Q44" s="1295"/>
      <c r="R44" s="1295"/>
      <c r="S44" s="1295"/>
      <c r="T44" s="1295"/>
      <c r="U44" s="1295"/>
      <c r="V44" s="1295"/>
      <c r="W44" s="1295"/>
      <c r="X44" s="1295"/>
      <c r="Y44" s="1295"/>
      <c r="Z44" s="1295"/>
      <c r="AA44" s="1295"/>
      <c r="AB44" s="1295"/>
      <c r="AC44" s="1295"/>
      <c r="AD44" s="1295"/>
      <c r="AE44" s="1295"/>
      <c r="AF44" s="1295"/>
      <c r="AG44" s="1295"/>
      <c r="AH44" s="1295"/>
      <c r="AI44" s="1295"/>
      <c r="AJ44" s="1295"/>
      <c r="AK44" s="1295"/>
      <c r="AL44" s="1295"/>
      <c r="AM44" s="1295"/>
      <c r="AN44" s="1295"/>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row>
    <row r="45" spans="2:68" ht="15" thickBot="1">
      <c r="B45" s="484" t="s">
        <v>1168</v>
      </c>
      <c r="C45" s="336">
        <v>-539225.47233418259</v>
      </c>
    </row>
    <row r="46" spans="2:68" ht="15" thickBot="1"/>
    <row r="47" spans="2:68">
      <c r="B47" s="485" t="s">
        <v>1169</v>
      </c>
      <c r="C47" s="524" t="s">
        <v>1170</v>
      </c>
    </row>
    <row r="48" spans="2:68">
      <c r="B48" s="332" t="s">
        <v>1171</v>
      </c>
      <c r="C48" s="333">
        <v>-773053.46510226233</v>
      </c>
    </row>
    <row r="49" spans="2:3">
      <c r="B49" s="332">
        <v>1</v>
      </c>
      <c r="C49" s="333">
        <v>-508085.17731879803</v>
      </c>
    </row>
    <row r="50" spans="2:3">
      <c r="B50" s="332">
        <v>2</v>
      </c>
      <c r="C50" s="333">
        <v>433186.55137274042</v>
      </c>
    </row>
    <row r="51" spans="2:3">
      <c r="B51" s="332">
        <v>3</v>
      </c>
      <c r="C51" s="333">
        <v>557336.81527826539</v>
      </c>
    </row>
    <row r="52" spans="2:3">
      <c r="B52" s="332">
        <v>4</v>
      </c>
      <c r="C52" s="333">
        <v>760988.47611619672</v>
      </c>
    </row>
    <row r="53" spans="2:3" ht="15" thickBot="1">
      <c r="B53" s="334">
        <v>5</v>
      </c>
      <c r="C53" s="335">
        <v>1772311.6932436186</v>
      </c>
    </row>
    <row r="54" spans="2:3" ht="15" thickBot="1">
      <c r="B54" s="493"/>
      <c r="C54" s="494"/>
    </row>
    <row r="55" spans="2:3">
      <c r="B55" s="485" t="s">
        <v>1172</v>
      </c>
      <c r="C55" s="1260">
        <v>0.125</v>
      </c>
    </row>
    <row r="56" spans="2:3">
      <c r="B56" s="483" t="s">
        <v>1173</v>
      </c>
      <c r="C56" s="981">
        <v>967610.01954120514</v>
      </c>
    </row>
    <row r="57" spans="2:3" ht="15" thickBot="1">
      <c r="B57" s="486" t="s">
        <v>1174</v>
      </c>
      <c r="C57" s="982">
        <v>0.3285779761384513</v>
      </c>
    </row>
  </sheetData>
  <mergeCells count="14">
    <mergeCell ref="B36:B39"/>
    <mergeCell ref="B30:B35"/>
    <mergeCell ref="BR4:BX5"/>
    <mergeCell ref="BR22:BX22"/>
    <mergeCell ref="B15:B16"/>
    <mergeCell ref="B17:B22"/>
    <mergeCell ref="B24:B29"/>
    <mergeCell ref="B4:B6"/>
    <mergeCell ref="D4:BP5"/>
    <mergeCell ref="D6:P6"/>
    <mergeCell ref="Q6:AC6"/>
    <mergeCell ref="AD6:AP6"/>
    <mergeCell ref="AQ6:BC6"/>
    <mergeCell ref="BD6:BP6"/>
  </mergeCells>
  <hyperlinks>
    <hyperlink ref="C2" location="Indice!A1" display="INDICE" xr:uid="{00000000-0004-0000-2200-000000000000}"/>
  </hyperlink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92D050"/>
  </sheetPr>
  <dimension ref="B2:CE57"/>
  <sheetViews>
    <sheetView showGridLines="0" zoomScale="85" zoomScaleNormal="85" workbookViewId="0">
      <selection activeCell="AP36" sqref="AP36"/>
    </sheetView>
  </sheetViews>
  <sheetFormatPr defaultColWidth="11.42578125" defaultRowHeight="14.45"/>
  <cols>
    <col min="2" max="2" width="17.42578125" bestFit="1" customWidth="1"/>
    <col min="3" max="3" width="39.28515625" bestFit="1" customWidth="1"/>
    <col min="4" max="15" width="0" hidden="1" customWidth="1"/>
    <col min="16" max="16" width="14.28515625" bestFit="1" customWidth="1"/>
    <col min="17" max="28" width="0" hidden="1" customWidth="1"/>
    <col min="29" max="29" width="14.28515625" bestFit="1" customWidth="1"/>
    <col min="30" max="41" width="0" hidden="1" customWidth="1"/>
    <col min="42" max="42" width="14.28515625" bestFit="1" customWidth="1"/>
    <col min="43" max="54" width="0" hidden="1" customWidth="1"/>
    <col min="55" max="55" width="14.28515625" bestFit="1" customWidth="1"/>
    <col min="56" max="67" width="0" hidden="1" customWidth="1"/>
    <col min="68" max="68" width="14.28515625" bestFit="1" customWidth="1"/>
    <col min="70" max="70" width="40.140625" bestFit="1" customWidth="1"/>
    <col min="71" max="76" width="17" bestFit="1" customWidth="1"/>
    <col min="78" max="78" width="50.42578125" bestFit="1" customWidth="1"/>
    <col min="79" max="79" width="15.7109375" bestFit="1" customWidth="1"/>
    <col min="80" max="80" width="17" bestFit="1" customWidth="1"/>
    <col min="81" max="83" width="15.7109375" bestFit="1" customWidth="1"/>
  </cols>
  <sheetData>
    <row r="2" spans="2:83">
      <c r="B2" t="s">
        <v>48</v>
      </c>
      <c r="C2" s="337" t="s">
        <v>49</v>
      </c>
    </row>
    <row r="3" spans="2:83" ht="15" thickBot="1"/>
    <row r="4" spans="2:83" ht="15" customHeight="1" thickBot="1">
      <c r="B4" s="1730"/>
      <c r="C4" s="1369"/>
      <c r="D4" s="1732" t="s">
        <v>1138</v>
      </c>
      <c r="E4" s="1733"/>
      <c r="F4" s="1733"/>
      <c r="G4" s="1733"/>
      <c r="H4" s="1733"/>
      <c r="I4" s="1733"/>
      <c r="J4" s="1733"/>
      <c r="K4" s="1733"/>
      <c r="L4" s="1733"/>
      <c r="M4" s="1733"/>
      <c r="N4" s="1733"/>
      <c r="O4" s="1733"/>
      <c r="P4" s="1733"/>
      <c r="Q4" s="1733"/>
      <c r="R4" s="1733"/>
      <c r="S4" s="1733"/>
      <c r="T4" s="1733"/>
      <c r="U4" s="1733"/>
      <c r="V4" s="1733"/>
      <c r="W4" s="1733"/>
      <c r="X4" s="1733"/>
      <c r="Y4" s="1733"/>
      <c r="Z4" s="1733"/>
      <c r="AA4" s="1733"/>
      <c r="AB4" s="1733"/>
      <c r="AC4" s="1733"/>
      <c r="AD4" s="1733"/>
      <c r="AE4" s="1733"/>
      <c r="AF4" s="1733"/>
      <c r="AG4" s="1733"/>
      <c r="AH4" s="1733"/>
      <c r="AI4" s="1733"/>
      <c r="AJ4" s="1733"/>
      <c r="AK4" s="1733"/>
      <c r="AL4" s="1733"/>
      <c r="AM4" s="1733"/>
      <c r="AN4" s="1733"/>
      <c r="AO4" s="1733"/>
      <c r="AP4" s="1733"/>
      <c r="AQ4" s="1733"/>
      <c r="AR4" s="1733"/>
      <c r="AS4" s="1733"/>
      <c r="AT4" s="1733"/>
      <c r="AU4" s="1733"/>
      <c r="AV4" s="1733"/>
      <c r="AW4" s="1733"/>
      <c r="AX4" s="1733"/>
      <c r="AY4" s="1733"/>
      <c r="AZ4" s="1733"/>
      <c r="BA4" s="1733"/>
      <c r="BB4" s="1733"/>
      <c r="BC4" s="1733"/>
      <c r="BD4" s="1733"/>
      <c r="BE4" s="1733"/>
      <c r="BF4" s="1733"/>
      <c r="BG4" s="1733"/>
      <c r="BH4" s="1733"/>
      <c r="BI4" s="1733"/>
      <c r="BJ4" s="1733"/>
      <c r="BK4" s="1733"/>
      <c r="BL4" s="1733"/>
      <c r="BM4" s="1733"/>
      <c r="BN4" s="1733"/>
      <c r="BO4" s="1733"/>
      <c r="BP4" s="1734"/>
      <c r="BR4" s="1755" t="s">
        <v>1175</v>
      </c>
      <c r="BS4" s="1756"/>
      <c r="BT4" s="1756"/>
      <c r="BU4" s="1756"/>
      <c r="BV4" s="1756"/>
      <c r="BW4" s="1756"/>
      <c r="BX4" s="1757"/>
      <c r="BZ4" s="1339" t="s">
        <v>1224</v>
      </c>
      <c r="CA4" s="1339">
        <v>2024</v>
      </c>
      <c r="CB4" s="1340">
        <v>2025</v>
      </c>
      <c r="CC4" s="1339">
        <v>2026</v>
      </c>
      <c r="CD4" s="1339">
        <v>2027</v>
      </c>
      <c r="CE4" s="1339">
        <v>2028</v>
      </c>
    </row>
    <row r="5" spans="2:83" ht="15" customHeight="1" thickBot="1">
      <c r="B5" s="1731"/>
      <c r="C5" s="1370"/>
      <c r="D5" s="1735"/>
      <c r="E5" s="1736"/>
      <c r="F5" s="1736"/>
      <c r="G5" s="1736"/>
      <c r="H5" s="1736"/>
      <c r="I5" s="1736"/>
      <c r="J5" s="1736"/>
      <c r="K5" s="1736"/>
      <c r="L5" s="1736"/>
      <c r="M5" s="1736"/>
      <c r="N5" s="1736"/>
      <c r="O5" s="1736"/>
      <c r="P5" s="1736"/>
      <c r="Q5" s="1736"/>
      <c r="R5" s="1736"/>
      <c r="S5" s="1736"/>
      <c r="T5" s="1736"/>
      <c r="U5" s="1736"/>
      <c r="V5" s="1736"/>
      <c r="W5" s="1736"/>
      <c r="X5" s="1736"/>
      <c r="Y5" s="1736"/>
      <c r="Z5" s="1736"/>
      <c r="AA5" s="1736"/>
      <c r="AB5" s="1736"/>
      <c r="AC5" s="1736"/>
      <c r="AD5" s="1736"/>
      <c r="AE5" s="1736"/>
      <c r="AF5" s="1736"/>
      <c r="AG5" s="1736"/>
      <c r="AH5" s="1736"/>
      <c r="AI5" s="1736"/>
      <c r="AJ5" s="1736"/>
      <c r="AK5" s="1736"/>
      <c r="AL5" s="1736"/>
      <c r="AM5" s="1736"/>
      <c r="AN5" s="1736"/>
      <c r="AO5" s="1736"/>
      <c r="AP5" s="1736"/>
      <c r="AQ5" s="1736"/>
      <c r="AR5" s="1736"/>
      <c r="AS5" s="1736"/>
      <c r="AT5" s="1736"/>
      <c r="AU5" s="1736"/>
      <c r="AV5" s="1736"/>
      <c r="AW5" s="1736"/>
      <c r="AX5" s="1736"/>
      <c r="AY5" s="1736"/>
      <c r="AZ5" s="1736"/>
      <c r="BA5" s="1736"/>
      <c r="BB5" s="1736"/>
      <c r="BC5" s="1736"/>
      <c r="BD5" s="1736"/>
      <c r="BE5" s="1736"/>
      <c r="BF5" s="1736"/>
      <c r="BG5" s="1736"/>
      <c r="BH5" s="1736"/>
      <c r="BI5" s="1736"/>
      <c r="BJ5" s="1736"/>
      <c r="BK5" s="1736"/>
      <c r="BL5" s="1736"/>
      <c r="BM5" s="1736"/>
      <c r="BN5" s="1736"/>
      <c r="BO5" s="1736"/>
      <c r="BP5" s="1737"/>
      <c r="BR5" s="1758"/>
      <c r="BS5" s="1759"/>
      <c r="BT5" s="1759"/>
      <c r="BU5" s="1759"/>
      <c r="BV5" s="1759"/>
      <c r="BW5" s="1759"/>
      <c r="BX5" s="1760"/>
      <c r="BZ5" s="238" t="s">
        <v>1143</v>
      </c>
      <c r="CA5" s="359">
        <v>234237.12320617767</v>
      </c>
      <c r="CB5" s="353">
        <v>1048295.2410332785</v>
      </c>
      <c r="CC5" s="359">
        <v>1758526.0120838359</v>
      </c>
      <c r="CD5" s="359">
        <v>2615724.9421390626</v>
      </c>
      <c r="CE5" s="359">
        <v>3639452.2003936982</v>
      </c>
    </row>
    <row r="6" spans="2:83" ht="15" thickBot="1">
      <c r="B6" s="1731"/>
      <c r="C6" s="1370"/>
      <c r="D6" s="1741">
        <v>2024</v>
      </c>
      <c r="E6" s="1742"/>
      <c r="F6" s="1742"/>
      <c r="G6" s="1742"/>
      <c r="H6" s="1742"/>
      <c r="I6" s="1742"/>
      <c r="J6" s="1742"/>
      <c r="K6" s="1742"/>
      <c r="L6" s="1742"/>
      <c r="M6" s="1742"/>
      <c r="N6" s="1742"/>
      <c r="O6" s="1742"/>
      <c r="P6" s="1743"/>
      <c r="Q6" s="1744">
        <v>2025</v>
      </c>
      <c r="R6" s="1745"/>
      <c r="S6" s="1745"/>
      <c r="T6" s="1745"/>
      <c r="U6" s="1745"/>
      <c r="V6" s="1745"/>
      <c r="W6" s="1745"/>
      <c r="X6" s="1745"/>
      <c r="Y6" s="1745"/>
      <c r="Z6" s="1745"/>
      <c r="AA6" s="1745"/>
      <c r="AB6" s="1745"/>
      <c r="AC6" s="1746"/>
      <c r="AD6" s="1747">
        <v>2026</v>
      </c>
      <c r="AE6" s="1747"/>
      <c r="AF6" s="1747"/>
      <c r="AG6" s="1747"/>
      <c r="AH6" s="1747"/>
      <c r="AI6" s="1747"/>
      <c r="AJ6" s="1747"/>
      <c r="AK6" s="1747"/>
      <c r="AL6" s="1747"/>
      <c r="AM6" s="1747"/>
      <c r="AN6" s="1747"/>
      <c r="AO6" s="1747"/>
      <c r="AP6" s="1748"/>
      <c r="AQ6" s="1744">
        <v>2027</v>
      </c>
      <c r="AR6" s="1745"/>
      <c r="AS6" s="1745"/>
      <c r="AT6" s="1745"/>
      <c r="AU6" s="1745"/>
      <c r="AV6" s="1745"/>
      <c r="AW6" s="1745"/>
      <c r="AX6" s="1745"/>
      <c r="AY6" s="1745"/>
      <c r="AZ6" s="1745"/>
      <c r="BA6" s="1745"/>
      <c r="BB6" s="1745"/>
      <c r="BC6" s="1746"/>
      <c r="BD6" s="1749">
        <v>2028</v>
      </c>
      <c r="BE6" s="1750"/>
      <c r="BF6" s="1750"/>
      <c r="BG6" s="1750"/>
      <c r="BH6" s="1750"/>
      <c r="BI6" s="1750"/>
      <c r="BJ6" s="1750"/>
      <c r="BK6" s="1750"/>
      <c r="BL6" s="1750"/>
      <c r="BM6" s="1750"/>
      <c r="BN6" s="1750"/>
      <c r="BO6" s="1750"/>
      <c r="BP6" s="1751"/>
      <c r="BR6" s="1355" t="s">
        <v>50</v>
      </c>
      <c r="BS6" s="1316" t="s">
        <v>1176</v>
      </c>
      <c r="BT6" s="1316">
        <v>2024</v>
      </c>
      <c r="BU6" s="1316">
        <v>2025</v>
      </c>
      <c r="BV6" s="1316">
        <v>2026</v>
      </c>
      <c r="BW6" s="1316">
        <v>2027</v>
      </c>
      <c r="BX6" s="1317">
        <v>2028</v>
      </c>
      <c r="BZ6" s="237" t="s">
        <v>1225</v>
      </c>
      <c r="CA6" s="360">
        <v>169433.22900884433</v>
      </c>
      <c r="CB6" s="354">
        <v>622124.96014291223</v>
      </c>
      <c r="CC6" s="360">
        <v>960453.86937778303</v>
      </c>
      <c r="CD6" s="360">
        <v>1334430.6574903824</v>
      </c>
      <c r="CE6" s="360">
        <v>1798657.7410897193</v>
      </c>
    </row>
    <row r="7" spans="2:83" ht="15" thickBot="1">
      <c r="B7" s="304" t="s">
        <v>1139</v>
      </c>
      <c r="C7" s="1136"/>
      <c r="D7" s="1134" t="s">
        <v>53</v>
      </c>
      <c r="E7" s="282" t="s">
        <v>54</v>
      </c>
      <c r="F7" s="282" t="s">
        <v>55</v>
      </c>
      <c r="G7" s="282" t="s">
        <v>56</v>
      </c>
      <c r="H7" s="282" t="s">
        <v>57</v>
      </c>
      <c r="I7" s="282" t="s">
        <v>58</v>
      </c>
      <c r="J7" s="282" t="s">
        <v>59</v>
      </c>
      <c r="K7" s="282" t="s">
        <v>60</v>
      </c>
      <c r="L7" s="282" t="s">
        <v>61</v>
      </c>
      <c r="M7" s="282" t="s">
        <v>62</v>
      </c>
      <c r="N7" s="282" t="s">
        <v>63</v>
      </c>
      <c r="O7" s="283" t="s">
        <v>64</v>
      </c>
      <c r="P7" s="460" t="s">
        <v>1140</v>
      </c>
      <c r="Q7" s="464" t="s">
        <v>53</v>
      </c>
      <c r="R7" s="458" t="s">
        <v>54</v>
      </c>
      <c r="S7" s="458" t="s">
        <v>55</v>
      </c>
      <c r="T7" s="458" t="s">
        <v>56</v>
      </c>
      <c r="U7" s="458" t="s">
        <v>57</v>
      </c>
      <c r="V7" s="458" t="s">
        <v>58</v>
      </c>
      <c r="W7" s="458" t="s">
        <v>59</v>
      </c>
      <c r="X7" s="458" t="s">
        <v>60</v>
      </c>
      <c r="Y7" s="458" t="s">
        <v>61</v>
      </c>
      <c r="Z7" s="458" t="s">
        <v>62</v>
      </c>
      <c r="AA7" s="458" t="s">
        <v>63</v>
      </c>
      <c r="AB7" s="459" t="s">
        <v>64</v>
      </c>
      <c r="AC7" s="460" t="s">
        <v>1140</v>
      </c>
      <c r="AD7" s="278" t="s">
        <v>53</v>
      </c>
      <c r="AE7" s="278" t="s">
        <v>54</v>
      </c>
      <c r="AF7" s="278" t="s">
        <v>55</v>
      </c>
      <c r="AG7" s="278" t="s">
        <v>56</v>
      </c>
      <c r="AH7" s="278" t="s">
        <v>57</v>
      </c>
      <c r="AI7" s="278" t="s">
        <v>58</v>
      </c>
      <c r="AJ7" s="278" t="s">
        <v>59</v>
      </c>
      <c r="AK7" s="278" t="s">
        <v>60</v>
      </c>
      <c r="AL7" s="278" t="s">
        <v>61</v>
      </c>
      <c r="AM7" s="278" t="s">
        <v>62</v>
      </c>
      <c r="AN7" s="278" t="s">
        <v>63</v>
      </c>
      <c r="AO7" s="1374" t="s">
        <v>64</v>
      </c>
      <c r="AP7" s="331" t="s">
        <v>1140</v>
      </c>
      <c r="AQ7" s="278" t="s">
        <v>53</v>
      </c>
      <c r="AR7" s="1375" t="s">
        <v>54</v>
      </c>
      <c r="AS7" s="1375" t="s">
        <v>55</v>
      </c>
      <c r="AT7" s="1375" t="s">
        <v>56</v>
      </c>
      <c r="AU7" s="1375" t="s">
        <v>57</v>
      </c>
      <c r="AV7" s="1375" t="s">
        <v>58</v>
      </c>
      <c r="AW7" s="1375" t="s">
        <v>59</v>
      </c>
      <c r="AX7" s="1375" t="s">
        <v>60</v>
      </c>
      <c r="AY7" s="1375" t="s">
        <v>61</v>
      </c>
      <c r="AZ7" s="1375" t="s">
        <v>62</v>
      </c>
      <c r="BA7" s="1375" t="s">
        <v>63</v>
      </c>
      <c r="BB7" s="977" t="s">
        <v>64</v>
      </c>
      <c r="BC7" s="331" t="s">
        <v>1140</v>
      </c>
      <c r="BD7" s="278" t="s">
        <v>53</v>
      </c>
      <c r="BE7" s="1375" t="s">
        <v>54</v>
      </c>
      <c r="BF7" s="1375" t="s">
        <v>55</v>
      </c>
      <c r="BG7" s="1375" t="s">
        <v>56</v>
      </c>
      <c r="BH7" s="1375" t="s">
        <v>57</v>
      </c>
      <c r="BI7" s="1375" t="s">
        <v>58</v>
      </c>
      <c r="BJ7" s="1375" t="s">
        <v>59</v>
      </c>
      <c r="BK7" s="1375" t="s">
        <v>60</v>
      </c>
      <c r="BL7" s="1375" t="s">
        <v>61</v>
      </c>
      <c r="BM7" s="1375" t="s">
        <v>62</v>
      </c>
      <c r="BN7" s="1375" t="s">
        <v>63</v>
      </c>
      <c r="BO7" s="977" t="s">
        <v>64</v>
      </c>
      <c r="BP7" s="980" t="s">
        <v>1140</v>
      </c>
      <c r="BR7" s="316" t="s">
        <v>1143</v>
      </c>
      <c r="BS7" s="216"/>
      <c r="BT7" s="216">
        <v>234237.12320617767</v>
      </c>
      <c r="BU7" s="216">
        <v>1048295.2410332785</v>
      </c>
      <c r="BV7" s="216">
        <v>1758526.0120838359</v>
      </c>
      <c r="BW7" s="216">
        <v>2615724.9421390626</v>
      </c>
      <c r="BX7" s="288">
        <v>3639452.2003936982</v>
      </c>
      <c r="BZ7" s="366" t="s">
        <v>1226</v>
      </c>
      <c r="CA7" s="361">
        <v>64803.894197333342</v>
      </c>
      <c r="CB7" s="355">
        <v>426170.2808903663</v>
      </c>
      <c r="CC7" s="361">
        <v>798072.14270605287</v>
      </c>
      <c r="CD7" s="361">
        <v>1281294.2846486801</v>
      </c>
      <c r="CE7" s="361">
        <v>1840794.4593039788</v>
      </c>
    </row>
    <row r="8" spans="2:83">
      <c r="B8" s="303" t="s">
        <v>1141</v>
      </c>
      <c r="C8" s="1137"/>
      <c r="D8" s="416">
        <f>'[1]1.5 - Proyeccion demanda'!L5</f>
        <v>0</v>
      </c>
      <c r="E8" s="188">
        <f>'[1]1.5 - Proyeccion demanda'!L6</f>
        <v>0</v>
      </c>
      <c r="F8" s="188">
        <f>'[1]1.5 - Proyeccion demanda'!L7</f>
        <v>367.02972237418214</v>
      </c>
      <c r="G8" s="188">
        <f>'[1]1.5 - Proyeccion demanda'!L8</f>
        <v>523.57232508353434</v>
      </c>
      <c r="H8" s="188">
        <f>'[1]1.5 - Proyeccion demanda'!L9</f>
        <v>906.6911257259319</v>
      </c>
      <c r="I8" s="188">
        <f>'[1]1.5 - Proyeccion demanda'!L10</f>
        <v>1616.5671477092926</v>
      </c>
      <c r="J8" s="188">
        <f>'[1]1.5 - Proyeccion demanda'!L11</f>
        <v>2209.2567216277685</v>
      </c>
      <c r="K8" s="188">
        <f>'[1]1.5 - Proyeccion demanda'!L12</f>
        <v>3113.3920062007687</v>
      </c>
      <c r="L8" s="188">
        <f>'[1]1.5 - Proyeccion demanda'!L13</f>
        <v>3173.48868429094</v>
      </c>
      <c r="M8" s="188">
        <f>'[1]1.5 - Proyeccion demanda'!L14</f>
        <v>3436.1701173878319</v>
      </c>
      <c r="N8" s="188">
        <f>'[1]1.5 - Proyeccion demanda'!L15</f>
        <v>3987.6473065901032</v>
      </c>
      <c r="O8" s="284">
        <f>'[1]1.5 - Proyeccion demanda'!L16</f>
        <v>3434.4087938413113</v>
      </c>
      <c r="P8" s="465">
        <v>22768.223950831663</v>
      </c>
      <c r="Q8" s="416">
        <v>6590.2484293801235</v>
      </c>
      <c r="R8" s="188">
        <v>6579.7357055578359</v>
      </c>
      <c r="S8" s="188">
        <v>7751.6663272764727</v>
      </c>
      <c r="T8" s="188">
        <v>7370.0811248228465</v>
      </c>
      <c r="U8" s="188">
        <v>7655.9691425157725</v>
      </c>
      <c r="V8" s="188">
        <v>8529.2235797886951</v>
      </c>
      <c r="W8" s="188">
        <v>8475.3003586720242</v>
      </c>
      <c r="X8" s="188">
        <v>9382.1885191373221</v>
      </c>
      <c r="Y8" s="188">
        <v>8923.6346072925098</v>
      </c>
      <c r="Z8" s="188">
        <v>8523.5481615752851</v>
      </c>
      <c r="AA8" s="188">
        <v>8848.2485127828168</v>
      </c>
      <c r="AB8" s="284">
        <v>7237.9658788241259</v>
      </c>
      <c r="AC8" s="465">
        <v>95867.810347625811</v>
      </c>
      <c r="AD8" s="330">
        <v>10414.269830246423</v>
      </c>
      <c r="AE8" s="328">
        <v>10395.313130617735</v>
      </c>
      <c r="AF8" s="328">
        <v>12244.107310603957</v>
      </c>
      <c r="AG8" s="328">
        <v>11638.796872797848</v>
      </c>
      <c r="AH8" s="328">
        <v>12087.613918836134</v>
      </c>
      <c r="AI8" s="328">
        <v>13463.417131546397</v>
      </c>
      <c r="AJ8" s="328">
        <v>13375.409867137334</v>
      </c>
      <c r="AK8" s="328">
        <v>14803.456959408673</v>
      </c>
      <c r="AL8" s="328">
        <v>14076.949084713777</v>
      </c>
      <c r="AM8" s="328">
        <v>13442.985246886436</v>
      </c>
      <c r="AN8" s="328">
        <v>13952.175096484962</v>
      </c>
      <c r="AO8" s="468">
        <v>11410.671254948435</v>
      </c>
      <c r="AP8" s="329">
        <v>151305.1657042281</v>
      </c>
      <c r="AQ8" s="330">
        <v>14590.889355230222</v>
      </c>
      <c r="AR8" s="328">
        <v>14561.363603864951</v>
      </c>
      <c r="AS8" s="328">
        <v>17147.62017372427</v>
      </c>
      <c r="AT8" s="328">
        <v>16296.629411148569</v>
      </c>
      <c r="AU8" s="328">
        <v>16921.698831864815</v>
      </c>
      <c r="AV8" s="328">
        <v>18843.998524546314</v>
      </c>
      <c r="AW8" s="328">
        <v>18717.158928355508</v>
      </c>
      <c r="AX8" s="328">
        <v>20711.50818681515</v>
      </c>
      <c r="AY8" s="328">
        <v>19691.26167798505</v>
      </c>
      <c r="AZ8" s="328">
        <v>18800.864335213275</v>
      </c>
      <c r="BA8" s="328">
        <v>19509.303231727605</v>
      </c>
      <c r="BB8" s="468">
        <v>15952.524922214245</v>
      </c>
      <c r="BC8" s="329">
        <v>211744.82118268995</v>
      </c>
      <c r="BD8" s="330">
        <v>19120.107004331523</v>
      </c>
      <c r="BE8" s="328">
        <v>19077.887125299487</v>
      </c>
      <c r="BF8" s="328">
        <v>22462.20491663742</v>
      </c>
      <c r="BG8" s="328">
        <v>21343.578739875007</v>
      </c>
      <c r="BH8" s="328">
        <v>22158.223881601811</v>
      </c>
      <c r="BI8" s="328">
        <v>24670.96775878848</v>
      </c>
      <c r="BJ8" s="328">
        <v>24500.547542326556</v>
      </c>
      <c r="BK8" s="328">
        <v>27106.342201356747</v>
      </c>
      <c r="BL8" s="328">
        <v>25766.572387106324</v>
      </c>
      <c r="BM8" s="328">
        <v>24597.185426555778</v>
      </c>
      <c r="BN8" s="328">
        <v>25519.632918510746</v>
      </c>
      <c r="BO8" s="468">
        <v>20863.526880621557</v>
      </c>
      <c r="BP8" s="329">
        <v>277186.77678301145</v>
      </c>
      <c r="BR8" s="316" t="s">
        <v>1177</v>
      </c>
      <c r="BS8" s="216">
        <v>235000</v>
      </c>
      <c r="BT8" s="216"/>
      <c r="BU8" s="216"/>
      <c r="BV8" s="216"/>
      <c r="BW8" s="216"/>
      <c r="BX8" s="288"/>
      <c r="BZ8" s="237" t="s">
        <v>1227</v>
      </c>
      <c r="CA8" s="362">
        <v>44912.78119842973</v>
      </c>
      <c r="CB8" s="300">
        <v>86284.845415974414</v>
      </c>
      <c r="CC8" s="362">
        <v>96148.787714070495</v>
      </c>
      <c r="CD8" s="362">
        <v>98264.06104378005</v>
      </c>
      <c r="CE8" s="362">
        <v>144840.13536271825</v>
      </c>
    </row>
    <row r="9" spans="2:83">
      <c r="B9" s="455" t="s">
        <v>1142</v>
      </c>
      <c r="C9" s="1138"/>
      <c r="D9" s="1135">
        <f>'[1]3.4 - Plan de fabricacion'!C14</f>
        <v>0</v>
      </c>
      <c r="E9" s="456">
        <f>'[1]3.4 - Plan de fabricacion'!D14</f>
        <v>0</v>
      </c>
      <c r="F9" s="456">
        <f>'[1]3.4 - Plan de fabricacion'!E14</f>
        <v>4505.6000000000004</v>
      </c>
      <c r="G9" s="456">
        <f>'[1]3.4 - Plan de fabricacion'!F14</f>
        <v>4096</v>
      </c>
      <c r="H9" s="456">
        <f>'[1]3.4 - Plan de fabricacion'!G14</f>
        <v>4300.8</v>
      </c>
      <c r="I9" s="456">
        <f>'[1]3.4 - Plan de fabricacion'!H14</f>
        <v>4096</v>
      </c>
      <c r="J9" s="456">
        <f>'[1]3.4 - Plan de fabricacion'!I14</f>
        <v>4352</v>
      </c>
      <c r="K9" s="456">
        <f>'[1]3.4 - Plan de fabricacion'!J14</f>
        <v>4787.2</v>
      </c>
      <c r="L9" s="456">
        <f>'[1]3.4 - Plan de fabricacion'!K14</f>
        <v>4569.5999999999995</v>
      </c>
      <c r="M9" s="456">
        <f>'[1]3.4 - Plan de fabricacion'!L14</f>
        <v>4569.5999999999995</v>
      </c>
      <c r="N9" s="456">
        <f>'[1]3.4 - Plan de fabricacion'!M14</f>
        <v>4352</v>
      </c>
      <c r="O9" s="457">
        <f>'[1]3.4 - Plan de fabricacion'!N14</f>
        <v>4787.2</v>
      </c>
      <c r="P9" s="465">
        <v>44416</v>
      </c>
      <c r="Q9" s="416">
        <v>9354.24</v>
      </c>
      <c r="R9" s="188">
        <v>8908.7999999999993</v>
      </c>
      <c r="S9" s="188">
        <v>9799.68</v>
      </c>
      <c r="T9" s="188">
        <v>8908.7999999999993</v>
      </c>
      <c r="U9" s="188">
        <v>9354.24</v>
      </c>
      <c r="V9" s="188">
        <v>8908.7999999999993</v>
      </c>
      <c r="W9" s="188">
        <v>8908.7999999999993</v>
      </c>
      <c r="X9" s="188">
        <v>9799.68</v>
      </c>
      <c r="Y9" s="188">
        <v>9354.24</v>
      </c>
      <c r="Z9" s="188">
        <v>9354.24</v>
      </c>
      <c r="AA9" s="188">
        <v>8908.7999999999993</v>
      </c>
      <c r="AB9" s="284">
        <v>9799.68</v>
      </c>
      <c r="AC9" s="465">
        <v>111360.00000000003</v>
      </c>
      <c r="AD9" s="330">
        <v>18708.48</v>
      </c>
      <c r="AE9" s="328">
        <v>17817.599999999999</v>
      </c>
      <c r="AF9" s="328">
        <v>19599.36</v>
      </c>
      <c r="AG9" s="328">
        <v>17817.599999999999</v>
      </c>
      <c r="AH9" s="328">
        <v>18708.48</v>
      </c>
      <c r="AI9" s="328">
        <v>17817.599999999999</v>
      </c>
      <c r="AJ9" s="328">
        <v>17817.599999999999</v>
      </c>
      <c r="AK9" s="328">
        <v>19599.36</v>
      </c>
      <c r="AL9" s="328">
        <v>18708.48</v>
      </c>
      <c r="AM9" s="328">
        <v>18708.48</v>
      </c>
      <c r="AN9" s="328">
        <v>17817.599999999999</v>
      </c>
      <c r="AO9" s="468">
        <v>19599.36</v>
      </c>
      <c r="AP9" s="329">
        <v>222720.00000000006</v>
      </c>
      <c r="AQ9" s="416">
        <v>19353.600000000002</v>
      </c>
      <c r="AR9" s="188">
        <v>18432</v>
      </c>
      <c r="AS9" s="188">
        <v>20275.2</v>
      </c>
      <c r="AT9" s="188">
        <v>18432</v>
      </c>
      <c r="AU9" s="188">
        <v>19353.600000000002</v>
      </c>
      <c r="AV9" s="188">
        <v>18432</v>
      </c>
      <c r="AW9" s="188">
        <v>18432</v>
      </c>
      <c r="AX9" s="188">
        <v>20275.2</v>
      </c>
      <c r="AY9" s="188">
        <v>19353.600000000002</v>
      </c>
      <c r="AZ9" s="188">
        <v>19353.600000000002</v>
      </c>
      <c r="BA9" s="188">
        <v>18432</v>
      </c>
      <c r="BB9" s="284">
        <v>20275.2</v>
      </c>
      <c r="BC9" s="329">
        <v>230400.00000000006</v>
      </c>
      <c r="BD9" s="330">
        <v>29030.400000000001</v>
      </c>
      <c r="BE9" s="330">
        <v>27648</v>
      </c>
      <c r="BF9" s="330">
        <v>30412.799999999999</v>
      </c>
      <c r="BG9" s="330">
        <v>27648</v>
      </c>
      <c r="BH9" s="330">
        <v>29030.400000000001</v>
      </c>
      <c r="BI9" s="330">
        <v>27648</v>
      </c>
      <c r="BJ9" s="330">
        <v>27648</v>
      </c>
      <c r="BK9" s="330">
        <v>30412.799999999999</v>
      </c>
      <c r="BL9" s="330">
        <v>29030.400000000001</v>
      </c>
      <c r="BM9" s="330">
        <v>29030.400000000001</v>
      </c>
      <c r="BN9" s="330">
        <v>27648</v>
      </c>
      <c r="BO9" s="979">
        <v>30412.799999999999</v>
      </c>
      <c r="BP9" s="329">
        <v>345600</v>
      </c>
      <c r="BR9" s="316" t="s">
        <v>1178</v>
      </c>
      <c r="BS9" s="216">
        <v>330000</v>
      </c>
      <c r="BT9" s="216"/>
      <c r="BU9" s="216"/>
      <c r="BV9" s="216"/>
      <c r="BW9" s="216"/>
      <c r="BX9" s="288"/>
      <c r="BZ9" s="237" t="s">
        <v>1228</v>
      </c>
      <c r="CA9" s="360">
        <v>218373.61584121309</v>
      </c>
      <c r="CB9" s="354">
        <v>241310.28757974753</v>
      </c>
      <c r="CC9" s="360">
        <v>312876.40973244916</v>
      </c>
      <c r="CD9" s="360">
        <v>347206.44827780308</v>
      </c>
      <c r="CE9" s="360">
        <v>376738.75564413966</v>
      </c>
    </row>
    <row r="10" spans="2:83">
      <c r="B10" s="455" t="s">
        <v>678</v>
      </c>
      <c r="C10" s="1138"/>
      <c r="D10" s="1135">
        <f>'[1]3.4 - Plan de fabricacion'!C16</f>
        <v>0</v>
      </c>
      <c r="E10" s="456">
        <f>'[1]3.4 - Plan de fabricacion'!D16</f>
        <v>0</v>
      </c>
      <c r="F10" s="456">
        <f>'[1]3.4 - Plan de fabricacion'!E16</f>
        <v>4138.5702776258186</v>
      </c>
      <c r="G10" s="456">
        <f>'[1]3.4 - Plan de fabricacion'!F16</f>
        <v>7710.9979525422841</v>
      </c>
      <c r="H10" s="456">
        <f>'[1]3.4 - Plan de fabricacion'!G16</f>
        <v>11105.106826816353</v>
      </c>
      <c r="I10" s="456">
        <f>'[1]3.4 - Plan de fabricacion'!H16</f>
        <v>13584.53967910706</v>
      </c>
      <c r="J10" s="456">
        <f>'[1]3.4 - Plan de fabricacion'!I16</f>
        <v>15727.282957479292</v>
      </c>
      <c r="K10" s="456">
        <f>'[1]3.4 - Plan de fabricacion'!J16</f>
        <v>17401.090951278522</v>
      </c>
      <c r="L10" s="456">
        <f>'[1]3.4 - Plan de fabricacion'!K16</f>
        <v>18797.202266987581</v>
      </c>
      <c r="M10" s="456">
        <f>'[1]3.4 - Plan de fabricacion'!L16</f>
        <v>19930.632149599747</v>
      </c>
      <c r="N10" s="456">
        <f>'[1]3.4 - Plan de fabricacion'!M16</f>
        <v>20294.984843009643</v>
      </c>
      <c r="O10" s="457">
        <f>'[1]3.4 - Plan de fabricacion'!N16</f>
        <v>21647.776049168329</v>
      </c>
      <c r="P10" s="466">
        <v>21647.776049168329</v>
      </c>
      <c r="Q10" s="416">
        <v>24411.767619788207</v>
      </c>
      <c r="R10" s="416">
        <v>26740.83191423037</v>
      </c>
      <c r="S10" s="416">
        <v>28788.845586953896</v>
      </c>
      <c r="T10" s="416">
        <v>30327.564462131049</v>
      </c>
      <c r="U10" s="416">
        <v>32025.835319615275</v>
      </c>
      <c r="V10" s="416">
        <v>32405.411739826581</v>
      </c>
      <c r="W10" s="416">
        <v>32838.911381154554</v>
      </c>
      <c r="X10" s="416">
        <v>33256.402862017232</v>
      </c>
      <c r="Y10" s="416">
        <v>33687.008254724722</v>
      </c>
      <c r="Z10" s="416">
        <v>34517.70009314944</v>
      </c>
      <c r="AA10" s="416">
        <v>34578.251580366625</v>
      </c>
      <c r="AB10" s="467">
        <v>37139.965701542496</v>
      </c>
      <c r="AC10" s="465">
        <v>37139.965701542496</v>
      </c>
      <c r="AD10" s="330">
        <v>45434.175871296073</v>
      </c>
      <c r="AE10" s="328">
        <v>52856.46274067834</v>
      </c>
      <c r="AF10" s="328">
        <v>60211.715430074386</v>
      </c>
      <c r="AG10" s="328">
        <v>66390.518557276533</v>
      </c>
      <c r="AH10" s="328">
        <v>73011.384638440402</v>
      </c>
      <c r="AI10" s="328">
        <v>77365.567506894004</v>
      </c>
      <c r="AJ10" s="328">
        <v>81807.757639756674</v>
      </c>
      <c r="AK10" s="328">
        <v>86603.660680347995</v>
      </c>
      <c r="AL10" s="328">
        <v>91235.191595634213</v>
      </c>
      <c r="AM10" s="328">
        <v>96500.686348747782</v>
      </c>
      <c r="AN10" s="328">
        <v>100366.11125226282</v>
      </c>
      <c r="AO10" s="468">
        <v>108554.79999731439</v>
      </c>
      <c r="AP10" s="329">
        <v>108554.79999731437</v>
      </c>
      <c r="AQ10" s="416">
        <v>113317.51064208415</v>
      </c>
      <c r="AR10" s="188">
        <v>117188.14703821919</v>
      </c>
      <c r="AS10" s="188">
        <v>120315.72686449492</v>
      </c>
      <c r="AT10" s="188">
        <v>122451.09745334636</v>
      </c>
      <c r="AU10" s="188">
        <v>124882.99862148154</v>
      </c>
      <c r="AV10" s="188">
        <v>124471.00009693523</v>
      </c>
      <c r="AW10" s="188">
        <v>124185.84116857972</v>
      </c>
      <c r="AX10" s="188">
        <v>123749.53298176457</v>
      </c>
      <c r="AY10" s="188">
        <v>123411.87130377952</v>
      </c>
      <c r="AZ10" s="188">
        <v>123964.60696856625</v>
      </c>
      <c r="BA10" s="188">
        <v>122887.30373683864</v>
      </c>
      <c r="BB10" s="284">
        <v>127209.9788146244</v>
      </c>
      <c r="BC10" s="329">
        <v>127209.97881462441</v>
      </c>
      <c r="BD10" s="330">
        <v>137120.27181029288</v>
      </c>
      <c r="BE10" s="330">
        <v>145690.38468499339</v>
      </c>
      <c r="BF10" s="330">
        <v>153640.97976835596</v>
      </c>
      <c r="BG10" s="330">
        <v>159945.40102848096</v>
      </c>
      <c r="BH10" s="330">
        <v>166817.57714687916</v>
      </c>
      <c r="BI10" s="330">
        <v>169794.60938809067</v>
      </c>
      <c r="BJ10" s="330">
        <v>172942.06184576411</v>
      </c>
      <c r="BK10" s="330">
        <v>176248.51964440735</v>
      </c>
      <c r="BL10" s="330">
        <v>179512.34725730104</v>
      </c>
      <c r="BM10" s="330">
        <v>183945.56183074525</v>
      </c>
      <c r="BN10" s="330">
        <v>186073.92891223449</v>
      </c>
      <c r="BO10" s="979">
        <v>195623.20203161292</v>
      </c>
      <c r="BP10" s="329">
        <v>195623.20203161298</v>
      </c>
      <c r="BR10" s="314" t="s">
        <v>1179</v>
      </c>
      <c r="BS10" s="318">
        <v>565000</v>
      </c>
      <c r="BT10" s="318">
        <v>234237.12320617767</v>
      </c>
      <c r="BU10" s="318">
        <v>1048295.2410332785</v>
      </c>
      <c r="BV10" s="318">
        <v>1758526.0120838359</v>
      </c>
      <c r="BW10" s="318">
        <v>2615724.9421390626</v>
      </c>
      <c r="BX10" s="318">
        <v>3639452.2003936982</v>
      </c>
      <c r="BZ10" s="366" t="s">
        <v>1229</v>
      </c>
      <c r="CA10" s="361">
        <v>-198482.50284230948</v>
      </c>
      <c r="CB10" s="355">
        <v>98575.147894644382</v>
      </c>
      <c r="CC10" s="361">
        <v>389046.94525953318</v>
      </c>
      <c r="CD10" s="361">
        <v>835823.77532709693</v>
      </c>
      <c r="CE10" s="361">
        <v>1319215.568297121</v>
      </c>
    </row>
    <row r="11" spans="2:83" ht="15" thickBot="1">
      <c r="B11" s="455" t="s">
        <v>1143</v>
      </c>
      <c r="C11" s="1138"/>
      <c r="D11" s="946">
        <f>(D8*'[1]1.6 - Politica de precio'!$D$45)*0.5+(C8*'[1]1.6 - Politica de precio'!$D$45)*0.5</f>
        <v>0</v>
      </c>
      <c r="E11" s="947">
        <f>(D8*'[1]1.6 - Politica de precio'!$D$45)*0.5+(C8*'[1]1.6 - Politica de precio'!$D$45)*0.5</f>
        <v>0</v>
      </c>
      <c r="F11" s="947">
        <f>(E8*'[1]1.6 - Politica de precio'!$D$45)*0.5+(D8*'[1]1.6 - Politica de precio'!$D$45)*0.5</f>
        <v>0</v>
      </c>
      <c r="G11" s="947">
        <f>(F8*'[1]1.6 - Politica de precio'!$D$45)*0.5+(E8*'[1]1.6 - Politica de precio'!$D$45)*0.5</f>
        <v>1887.9818312958521</v>
      </c>
      <c r="H11" s="947">
        <f>(G8*'[1]1.6 - Politica de precio'!$D$45)*0.5+(F8*'[1]1.6 - Politica de precio'!$D$45)*0.5</f>
        <v>4581.2106813541595</v>
      </c>
      <c r="I11" s="947">
        <f>(H8*'[1]1.6 - Politica de precio'!$D$45)*0.5+(G8*'[1]1.6 - Politica de precio'!$D$45)*0.5</f>
        <v>7357.200914485742</v>
      </c>
      <c r="J11" s="947">
        <f>(I8*'[1]1.6 - Politica de precio'!$D$45)*0.5+(H8*'[1]1.6 - Politica de precio'!$D$45)*0.5</f>
        <v>12979.509520637526</v>
      </c>
      <c r="K11" s="947">
        <f>(J8*'[1]1.6 - Politica de precio'!$D$45)*0.5+(I8*'[1]1.6 - Politica de precio'!$D$45)*0.5</f>
        <v>19679.839301086693</v>
      </c>
      <c r="L11" s="947">
        <f>(K8*'[1]1.6 - Politica de precio'!$D$45)*0.5+(J8*'[1]1.6 - Politica de precio'!$D$45)*0.5</f>
        <v>27379.428640019963</v>
      </c>
      <c r="M11" s="947">
        <f>(L8*'[1]1.6 - Politica de precio'!$D$45)*0.5+(K8*'[1]1.6 - Politica de precio'!$D$45)*0.5</f>
        <v>32339.387781440346</v>
      </c>
      <c r="N11" s="947">
        <f>(M8*'[1]1.6 - Politica de precio'!$D$45)*0.5+(L8*'[1]1.6 - Politica de precio'!$D$45)*0.5</f>
        <v>33999.741622865462</v>
      </c>
      <c r="O11" s="947">
        <f>(N8*'[1]1.6 - Politica de precio'!$D$45)*0.5+(M8*'[1]1.6 - Politica de precio'!$D$45)*0.5</f>
        <v>38187.73129506594</v>
      </c>
      <c r="P11" s="920">
        <v>178392.0315882517</v>
      </c>
      <c r="Q11" s="950">
        <v>38178.671138211736</v>
      </c>
      <c r="R11" s="950">
        <v>53697.941595588571</v>
      </c>
      <c r="S11" s="950">
        <v>72005.564970542546</v>
      </c>
      <c r="T11" s="950">
        <v>78355.500630910785</v>
      </c>
      <c r="U11" s="950">
        <v>82676.634798801373</v>
      </c>
      <c r="V11" s="950">
        <v>82153.420056537216</v>
      </c>
      <c r="W11" s="950">
        <v>88490.9149613138</v>
      </c>
      <c r="X11" s="950">
        <v>92970.52606128651</v>
      </c>
      <c r="Y11" s="950">
        <v>97634.026163380724</v>
      </c>
      <c r="Z11" s="950">
        <v>100085.24862020367</v>
      </c>
      <c r="AA11" s="950">
        <v>95390.718739279517</v>
      </c>
      <c r="AB11" s="950">
        <v>94978.552842154953</v>
      </c>
      <c r="AC11" s="1142">
        <v>976617.72057821159</v>
      </c>
      <c r="AD11" s="950">
        <v>87949.760883321418</v>
      </c>
      <c r="AE11" s="950">
        <v>100092.1477652696</v>
      </c>
      <c r="AF11" s="950">
        <v>120928.43217537811</v>
      </c>
      <c r="AG11" s="950">
        <v>131561.96471908805</v>
      </c>
      <c r="AH11" s="950">
        <v>138788.0845149635</v>
      </c>
      <c r="AI11" s="950">
        <v>137878.67174355523</v>
      </c>
      <c r="AJ11" s="950">
        <v>148481.88602328685</v>
      </c>
      <c r="AK11" s="950">
        <v>155965.51245072397</v>
      </c>
      <c r="AL11" s="950">
        <v>163752.73796796324</v>
      </c>
      <c r="AM11" s="950">
        <v>167829.51537626638</v>
      </c>
      <c r="AN11" s="950">
        <v>159923.55630329158</v>
      </c>
      <c r="AO11" s="950">
        <v>159198.4709999889</v>
      </c>
      <c r="AP11" s="1142">
        <v>1672350.7409230969</v>
      </c>
      <c r="AQ11" s="950">
        <v>147388.3090570347</v>
      </c>
      <c r="AR11" s="950">
        <v>156431.62061281406</v>
      </c>
      <c r="AS11" s="950">
        <v>180061.72419882138</v>
      </c>
      <c r="AT11" s="950">
        <v>195853.62063084901</v>
      </c>
      <c r="AU11" s="950">
        <v>206571.65856915747</v>
      </c>
      <c r="AV11" s="950">
        <v>205176.23344007385</v>
      </c>
      <c r="AW11" s="950">
        <v>220910.30639055284</v>
      </c>
      <c r="AX11" s="950">
        <v>232000.14020744254</v>
      </c>
      <c r="AY11" s="950">
        <v>243534.99517106806</v>
      </c>
      <c r="AZ11" s="950">
        <v>249551.63549355761</v>
      </c>
      <c r="BA11" s="950">
        <v>237750.35801658046</v>
      </c>
      <c r="BB11" s="950">
        <v>236626.47398567462</v>
      </c>
      <c r="BC11" s="1142">
        <v>2511857.0757736266</v>
      </c>
      <c r="BD11" s="950">
        <v>219033.42872335119</v>
      </c>
      <c r="BE11" s="950">
        <v>224055.4722979207</v>
      </c>
      <c r="BF11" s="950">
        <v>250769.13011355375</v>
      </c>
      <c r="BG11" s="950">
        <v>272709.94154409808</v>
      </c>
      <c r="BH11" s="950">
        <v>287584.16539377242</v>
      </c>
      <c r="BI11" s="950">
        <v>285588.53548011248</v>
      </c>
      <c r="BJ11" s="950">
        <v>307432.78329560324</v>
      </c>
      <c r="BK11" s="950">
        <v>322810.09512121807</v>
      </c>
      <c r="BL11" s="950">
        <v>338798.28362114454</v>
      </c>
      <c r="BM11" s="950">
        <v>347109.71348183695</v>
      </c>
      <c r="BN11" s="950">
        <v>330637.14532550878</v>
      </c>
      <c r="BO11" s="950">
        <v>329015.99224819633</v>
      </c>
      <c r="BP11" s="1142">
        <v>3515544.6866463162</v>
      </c>
      <c r="BR11" s="301" t="s">
        <v>1144</v>
      </c>
      <c r="BS11" s="212"/>
      <c r="BT11" s="212">
        <v>231845.51680845337</v>
      </c>
      <c r="BU11" s="212">
        <v>594072.40004342445</v>
      </c>
      <c r="BV11" s="212">
        <v>1214283.9856887595</v>
      </c>
      <c r="BW11" s="212">
        <v>1283791.2759040473</v>
      </c>
      <c r="BX11" s="286">
        <v>1968052.0259609038</v>
      </c>
      <c r="BZ11" s="237" t="s">
        <v>1094</v>
      </c>
      <c r="CA11" s="362">
        <v>20878.162111388196</v>
      </c>
      <c r="CB11" s="300">
        <v>20878.162111388196</v>
      </c>
      <c r="CC11" s="362">
        <v>33260.836398058593</v>
      </c>
      <c r="CD11" s="362">
        <v>33260.836398058593</v>
      </c>
      <c r="CE11" s="362">
        <v>33732.996008009664</v>
      </c>
    </row>
    <row r="12" spans="2:83" ht="15" thickBot="1">
      <c r="B12" s="1145"/>
      <c r="C12" s="1145"/>
      <c r="D12" s="1146"/>
      <c r="E12" s="1147"/>
      <c r="F12" s="1147"/>
      <c r="G12" s="1147"/>
      <c r="H12" s="1147"/>
      <c r="I12" s="1147"/>
      <c r="J12" s="1147"/>
      <c r="K12" s="1147"/>
      <c r="L12" s="1147"/>
      <c r="M12" s="1147"/>
      <c r="N12" s="1147"/>
      <c r="O12" s="1148"/>
      <c r="P12" s="1149"/>
      <c r="Q12" s="1150"/>
      <c r="R12" s="1151"/>
      <c r="S12" s="1151"/>
      <c r="T12" s="1151"/>
      <c r="U12" s="1151"/>
      <c r="V12" s="1151"/>
      <c r="W12" s="1151"/>
      <c r="X12" s="1151"/>
      <c r="Y12" s="1151"/>
      <c r="Z12" s="1151"/>
      <c r="AA12" s="1151"/>
      <c r="AB12" s="1152"/>
      <c r="AC12" s="1153"/>
      <c r="AD12" s="1150"/>
      <c r="AE12" s="1150"/>
      <c r="AF12" s="1150"/>
      <c r="AG12" s="1150"/>
      <c r="AH12" s="1150"/>
      <c r="AI12" s="1150"/>
      <c r="AJ12" s="1150"/>
      <c r="AK12" s="1150"/>
      <c r="AL12" s="1150"/>
      <c r="AM12" s="1150"/>
      <c r="AN12" s="1150"/>
      <c r="AO12" s="1154"/>
      <c r="AP12" s="1153"/>
      <c r="AQ12" s="1150"/>
      <c r="AR12" s="1151"/>
      <c r="AS12" s="1151"/>
      <c r="AT12" s="1151"/>
      <c r="AU12" s="1151"/>
      <c r="AV12" s="1151"/>
      <c r="AW12" s="1151"/>
      <c r="AX12" s="1151"/>
      <c r="AY12" s="1151"/>
      <c r="AZ12" s="1151"/>
      <c r="BA12" s="1151"/>
      <c r="BB12" s="1152"/>
      <c r="BC12" s="1153"/>
      <c r="BD12" s="1150"/>
      <c r="BE12" s="1151"/>
      <c r="BF12" s="1151"/>
      <c r="BG12" s="1151"/>
      <c r="BH12" s="1151"/>
      <c r="BI12" s="1151"/>
      <c r="BJ12" s="1151"/>
      <c r="BK12" s="1151"/>
      <c r="BL12" s="1151"/>
      <c r="BM12" s="1151"/>
      <c r="BN12" s="1151"/>
      <c r="BO12" s="1152"/>
      <c r="BP12" s="1149"/>
      <c r="BR12" s="301" t="s">
        <v>1145</v>
      </c>
      <c r="BS12" s="212"/>
      <c r="BT12" s="212">
        <v>18658.631477708979</v>
      </c>
      <c r="BU12" s="212">
        <v>38138.242740437156</v>
      </c>
      <c r="BV12" s="212">
        <v>77954.568161453542</v>
      </c>
      <c r="BW12" s="212">
        <v>79669.568661005527</v>
      </c>
      <c r="BX12" s="286">
        <v>122133.44875732149</v>
      </c>
      <c r="BZ12" s="366" t="s">
        <v>1230</v>
      </c>
      <c r="CA12" s="361">
        <v>-219360.66495369768</v>
      </c>
      <c r="CB12" s="355">
        <v>77696.985783256183</v>
      </c>
      <c r="CC12" s="361">
        <v>355786.10886147461</v>
      </c>
      <c r="CD12" s="361">
        <v>802562.93892903836</v>
      </c>
      <c r="CE12" s="361">
        <v>1285482.5722891113</v>
      </c>
    </row>
    <row r="13" spans="2:83" ht="15" thickBot="1">
      <c r="B13" s="1119" t="s">
        <v>1144</v>
      </c>
      <c r="C13" s="312"/>
      <c r="D13" s="1122">
        <f>D9*'[1]3.6 - Costos MP'!$F$27</f>
        <v>0</v>
      </c>
      <c r="E13" s="926">
        <f>E9*'[1]3.6 - Costos MP'!$F$27</f>
        <v>0</v>
      </c>
      <c r="F13" s="926">
        <f>F9*'[1]3.6 - Costos MP'!$C$38</f>
        <v>23518.623030713428</v>
      </c>
      <c r="G13" s="926">
        <f>G9*'[1]3.6 - Costos MP'!$C$38</f>
        <v>21380.566391557659</v>
      </c>
      <c r="H13" s="926">
        <f>H9*'[1]3.6 - Costos MP'!$C$38</f>
        <v>22449.594711135542</v>
      </c>
      <c r="I13" s="926">
        <f>I9*'[1]3.6 - Costos MP'!$C$38</f>
        <v>21380.566391557659</v>
      </c>
      <c r="J13" s="926">
        <f>J9*'[1]3.6 - Costos MP'!$C$38</f>
        <v>22716.851791030014</v>
      </c>
      <c r="K13" s="926">
        <f>K9*'[1]3.6 - Costos MP'!$C$38</f>
        <v>24988.536970133013</v>
      </c>
      <c r="L13" s="926">
        <f>L9*'[1]3.6 - Costos MP'!$C$38</f>
        <v>23852.69438058151</v>
      </c>
      <c r="M13" s="926">
        <f>M9*'[1]3.6 - Costos MP'!$C$38</f>
        <v>23852.69438058151</v>
      </c>
      <c r="N13" s="926">
        <f>N9*'[1]3.6 - Costos MP'!$C$38</f>
        <v>22716.851791030014</v>
      </c>
      <c r="O13" s="1123">
        <f>O9*'[1]3.6 - Costos MP'!$C$38</f>
        <v>24988.536970133013</v>
      </c>
      <c r="P13" s="927">
        <v>231845.51680845337</v>
      </c>
      <c r="Q13" s="926">
        <v>49902.081603647639</v>
      </c>
      <c r="R13" s="926">
        <v>47525.792003473936</v>
      </c>
      <c r="S13" s="926">
        <v>52278.371203821334</v>
      </c>
      <c r="T13" s="926">
        <v>47525.792003473936</v>
      </c>
      <c r="U13" s="926">
        <v>49902.081603647639</v>
      </c>
      <c r="V13" s="926">
        <v>47525.792003473936</v>
      </c>
      <c r="W13" s="926">
        <v>47525.792003473936</v>
      </c>
      <c r="X13" s="926">
        <v>52278.371203821334</v>
      </c>
      <c r="Y13" s="926">
        <v>49902.081603647639</v>
      </c>
      <c r="Z13" s="926">
        <v>49902.081603647639</v>
      </c>
      <c r="AA13" s="926">
        <v>47525.792003473936</v>
      </c>
      <c r="AB13" s="928">
        <v>52278.371203821334</v>
      </c>
      <c r="AC13" s="927">
        <v>594072.40004342422</v>
      </c>
      <c r="AD13" s="926">
        <v>101999.85479785578</v>
      </c>
      <c r="AE13" s="1108">
        <v>97142.718855100728</v>
      </c>
      <c r="AF13" s="1108">
        <v>106856.99074061081</v>
      </c>
      <c r="AG13" s="1108">
        <v>97142.718855100728</v>
      </c>
      <c r="AH13" s="1108">
        <v>101999.85479785578</v>
      </c>
      <c r="AI13" s="1108">
        <v>97142.718855100728</v>
      </c>
      <c r="AJ13" s="1108">
        <v>97142.718855100728</v>
      </c>
      <c r="AK13" s="1108">
        <v>106856.99074061081</v>
      </c>
      <c r="AL13" s="1108">
        <v>101999.85479785578</v>
      </c>
      <c r="AM13" s="1108">
        <v>101999.85479785578</v>
      </c>
      <c r="AN13" s="1108">
        <v>97142.718855100728</v>
      </c>
      <c r="AO13" s="1109">
        <v>106856.99074061081</v>
      </c>
      <c r="AP13" s="927">
        <v>1214283.985688759</v>
      </c>
      <c r="AQ13" s="926">
        <v>107838.46717593995</v>
      </c>
      <c r="AR13" s="1108">
        <v>102703.30207232376</v>
      </c>
      <c r="AS13" s="1108">
        <v>112973.63227955613</v>
      </c>
      <c r="AT13" s="1108">
        <v>102703.30207232376</v>
      </c>
      <c r="AU13" s="1108">
        <v>107838.46717593995</v>
      </c>
      <c r="AV13" s="1108">
        <v>102703.30207232376</v>
      </c>
      <c r="AW13" s="1108">
        <v>102703.30207232376</v>
      </c>
      <c r="AX13" s="1108">
        <v>112973.63227955613</v>
      </c>
      <c r="AY13" s="1108">
        <v>107838.46717593995</v>
      </c>
      <c r="AZ13" s="1108">
        <v>107838.46717593995</v>
      </c>
      <c r="BA13" s="1108">
        <v>102703.30207232376</v>
      </c>
      <c r="BB13" s="1109">
        <v>112973.63227955613</v>
      </c>
      <c r="BC13" s="927">
        <v>1283791.2759040468</v>
      </c>
      <c r="BD13" s="926">
        <v>165316.37018071592</v>
      </c>
      <c r="BE13" s="1108">
        <v>157444.16207687231</v>
      </c>
      <c r="BF13" s="1108">
        <v>173188.57828455954</v>
      </c>
      <c r="BG13" s="1108">
        <v>157444.16207687231</v>
      </c>
      <c r="BH13" s="1108">
        <v>165316.37018071592</v>
      </c>
      <c r="BI13" s="1108">
        <v>157444.16207687231</v>
      </c>
      <c r="BJ13" s="1108">
        <v>157444.16207687231</v>
      </c>
      <c r="BK13" s="1108">
        <v>173188.57828455954</v>
      </c>
      <c r="BL13" s="1108">
        <v>165316.37018071592</v>
      </c>
      <c r="BM13" s="1108">
        <v>165316.37018071592</v>
      </c>
      <c r="BN13" s="1108">
        <v>157444.16207687231</v>
      </c>
      <c r="BO13" s="1109">
        <v>173188.57828455954</v>
      </c>
      <c r="BP13" s="927">
        <v>1968052.0259609038</v>
      </c>
      <c r="BR13" s="301" t="s">
        <v>1146</v>
      </c>
      <c r="BS13" s="212"/>
      <c r="BT13" s="212">
        <v>44912.78119842973</v>
      </c>
      <c r="BU13" s="212">
        <v>86284.845415974414</v>
      </c>
      <c r="BV13" s="212">
        <v>96148.787714070495</v>
      </c>
      <c r="BW13" s="212">
        <v>98264.06104378005</v>
      </c>
      <c r="BX13" s="286">
        <v>144840.13536271825</v>
      </c>
      <c r="BZ13" s="237" t="s">
        <v>1231</v>
      </c>
      <c r="CA13" s="368">
        <v>393254.28</v>
      </c>
      <c r="CB13" s="300">
        <v>60566.879999999983</v>
      </c>
      <c r="CC13" s="362">
        <v>60566.879999999983</v>
      </c>
      <c r="CD13" s="362">
        <v>60566.879999999983</v>
      </c>
      <c r="CE13" s="362">
        <v>0</v>
      </c>
    </row>
    <row r="14" spans="2:83" ht="15" thickBot="1">
      <c r="B14" s="1380" t="s">
        <v>1145</v>
      </c>
      <c r="C14" s="463" t="s">
        <v>675</v>
      </c>
      <c r="D14" s="1143">
        <f>'[1]3.7 - Costos MOD'!$F$70</f>
        <v>1554.8859564757483</v>
      </c>
      <c r="E14" s="930">
        <f>'[1]3.7 - Costos MOD'!$F$70</f>
        <v>1554.8859564757483</v>
      </c>
      <c r="F14" s="930">
        <f>'[1]3.7 - Costos MOD'!$F$70</f>
        <v>1554.8859564757483</v>
      </c>
      <c r="G14" s="930">
        <f>'[1]3.7 - Costos MOD'!$F$70</f>
        <v>1554.8859564757483</v>
      </c>
      <c r="H14" s="930">
        <f>'[1]3.7 - Costos MOD'!$F$70</f>
        <v>1554.8859564757483</v>
      </c>
      <c r="I14" s="930">
        <f>'[1]3.7 - Costos MOD'!$F$70</f>
        <v>1554.8859564757483</v>
      </c>
      <c r="J14" s="930">
        <f>'[1]3.7 - Costos MOD'!$F$70</f>
        <v>1554.8859564757483</v>
      </c>
      <c r="K14" s="930">
        <f>'[1]3.7 - Costos MOD'!$F$70</f>
        <v>1554.8859564757483</v>
      </c>
      <c r="L14" s="930">
        <f>'[1]3.7 - Costos MOD'!$F$70</f>
        <v>1554.8859564757483</v>
      </c>
      <c r="M14" s="930">
        <f>'[1]3.7 - Costos MOD'!$F$70</f>
        <v>1554.8859564757483</v>
      </c>
      <c r="N14" s="930">
        <f>'[1]3.7 - Costos MOD'!$F$70</f>
        <v>1554.8859564757483</v>
      </c>
      <c r="O14" s="1144">
        <f>'[1]3.7 - Costos MOD'!$F$70</f>
        <v>1554.8859564757483</v>
      </c>
      <c r="P14" s="1141">
        <v>18658.631477708976</v>
      </c>
      <c r="Q14" s="930">
        <v>3178.1868950364296</v>
      </c>
      <c r="R14" s="930">
        <v>3178.1868950364296</v>
      </c>
      <c r="S14" s="930">
        <v>3178.1868950364296</v>
      </c>
      <c r="T14" s="930">
        <v>3178.1868950364296</v>
      </c>
      <c r="U14" s="930">
        <v>3178.1868950364296</v>
      </c>
      <c r="V14" s="930">
        <v>3178.1868950364296</v>
      </c>
      <c r="W14" s="930">
        <v>3178.1868950364296</v>
      </c>
      <c r="X14" s="930">
        <v>3178.1868950364296</v>
      </c>
      <c r="Y14" s="930">
        <v>3178.1868950364296</v>
      </c>
      <c r="Z14" s="930">
        <v>3178.1868950364296</v>
      </c>
      <c r="AA14" s="930">
        <v>3178.1868950364296</v>
      </c>
      <c r="AB14" s="978">
        <v>3178.1868950364296</v>
      </c>
      <c r="AC14" s="1141">
        <v>38138.242740437156</v>
      </c>
      <c r="AD14" s="1139">
        <v>6496.2140134544616</v>
      </c>
      <c r="AE14" s="1139">
        <v>6496.2140134544616</v>
      </c>
      <c r="AF14" s="1139">
        <v>6496.2140134544616</v>
      </c>
      <c r="AG14" s="1139">
        <v>6496.2140134544616</v>
      </c>
      <c r="AH14" s="1139">
        <v>6496.2140134544616</v>
      </c>
      <c r="AI14" s="1139">
        <v>6496.2140134544616</v>
      </c>
      <c r="AJ14" s="1139">
        <v>6496.2140134544616</v>
      </c>
      <c r="AK14" s="1139">
        <v>6496.2140134544616</v>
      </c>
      <c r="AL14" s="1139">
        <v>6496.2140134544616</v>
      </c>
      <c r="AM14" s="1139">
        <v>6496.2140134544616</v>
      </c>
      <c r="AN14" s="1139">
        <v>6496.2140134544616</v>
      </c>
      <c r="AO14" s="1140">
        <v>6496.2140134544616</v>
      </c>
      <c r="AP14" s="1141">
        <v>77954.568161453542</v>
      </c>
      <c r="AQ14" s="930">
        <v>6639.1307217504609</v>
      </c>
      <c r="AR14" s="930">
        <v>6639.1307217504609</v>
      </c>
      <c r="AS14" s="930">
        <v>6639.1307217504609</v>
      </c>
      <c r="AT14" s="930">
        <v>6639.1307217504609</v>
      </c>
      <c r="AU14" s="930">
        <v>6639.1307217504609</v>
      </c>
      <c r="AV14" s="930">
        <v>6639.1307217504609</v>
      </c>
      <c r="AW14" s="930">
        <v>6639.1307217504609</v>
      </c>
      <c r="AX14" s="930">
        <v>6639.1307217504609</v>
      </c>
      <c r="AY14" s="930">
        <v>6639.1307217504609</v>
      </c>
      <c r="AZ14" s="930">
        <v>6639.1307217504609</v>
      </c>
      <c r="BA14" s="930">
        <v>6639.1307217504609</v>
      </c>
      <c r="BB14" s="978">
        <v>6639.1307217504609</v>
      </c>
      <c r="BC14" s="1141">
        <v>79669.568661005527</v>
      </c>
      <c r="BD14" s="930">
        <v>10177.787396443457</v>
      </c>
      <c r="BE14" s="930">
        <v>10177.787396443457</v>
      </c>
      <c r="BF14" s="930">
        <v>10177.787396443457</v>
      </c>
      <c r="BG14" s="930">
        <v>10177.787396443457</v>
      </c>
      <c r="BH14" s="930">
        <v>10177.787396443457</v>
      </c>
      <c r="BI14" s="930">
        <v>10177.787396443457</v>
      </c>
      <c r="BJ14" s="930">
        <v>10177.787396443457</v>
      </c>
      <c r="BK14" s="930">
        <v>10177.787396443457</v>
      </c>
      <c r="BL14" s="930">
        <v>10177.787396443457</v>
      </c>
      <c r="BM14" s="930">
        <v>10177.787396443457</v>
      </c>
      <c r="BN14" s="930">
        <v>10177.787396443457</v>
      </c>
      <c r="BO14" s="978">
        <v>10177.787396443457</v>
      </c>
      <c r="BP14" s="1141">
        <v>122133.44875732147</v>
      </c>
      <c r="BR14" s="301" t="s">
        <v>1180</v>
      </c>
      <c r="BS14" s="212"/>
      <c r="BT14" s="212">
        <v>218373.61584121309</v>
      </c>
      <c r="BU14" s="212">
        <v>241310.28757974753</v>
      </c>
      <c r="BV14" s="212">
        <v>312876.40973244916</v>
      </c>
      <c r="BW14" s="212">
        <v>347206.44827780308</v>
      </c>
      <c r="BX14" s="286">
        <v>376738.75564413966</v>
      </c>
      <c r="BZ14" s="237" t="s">
        <v>1232</v>
      </c>
      <c r="CA14" s="363">
        <v>3513.5568480926649</v>
      </c>
      <c r="CB14" s="356">
        <v>15724.428615499177</v>
      </c>
      <c r="CC14" s="363">
        <v>26377.890181257539</v>
      </c>
      <c r="CD14" s="363">
        <v>39235.874132085934</v>
      </c>
      <c r="CE14" s="363">
        <v>54591.783005905469</v>
      </c>
    </row>
    <row r="15" spans="2:83">
      <c r="B15" s="1739" t="s">
        <v>1146</v>
      </c>
      <c r="C15" s="313" t="s">
        <v>676</v>
      </c>
      <c r="D15" s="958">
        <f>'[1]3.8 - Costos CCP '!$F$35</f>
        <v>1624.4423187882423</v>
      </c>
      <c r="E15" s="931">
        <f>'[1]3.8 - Costos CCP '!$F$35</f>
        <v>1624.4423187882423</v>
      </c>
      <c r="F15" s="931">
        <f>'[1]3.8 - Costos CCP '!$F$35</f>
        <v>1624.4423187882423</v>
      </c>
      <c r="G15" s="931">
        <f>'[1]3.8 - Costos CCP '!$F$35</f>
        <v>1624.4423187882423</v>
      </c>
      <c r="H15" s="931">
        <f>'[1]3.8 - Costos CCP '!$F$35</f>
        <v>1624.4423187882423</v>
      </c>
      <c r="I15" s="931">
        <f>'[1]3.8 - Costos CCP '!$F$35</f>
        <v>1624.4423187882423</v>
      </c>
      <c r="J15" s="931">
        <f>'[1]3.8 - Costos CCP '!$F$35</f>
        <v>1624.4423187882423</v>
      </c>
      <c r="K15" s="931">
        <f>'[1]3.8 - Costos CCP '!$F$35</f>
        <v>1624.4423187882423</v>
      </c>
      <c r="L15" s="931">
        <f>'[1]3.8 - Costos CCP '!$F$35</f>
        <v>1624.4423187882423</v>
      </c>
      <c r="M15" s="931">
        <f>'[1]3.8 - Costos CCP '!$F$35</f>
        <v>1624.4423187882423</v>
      </c>
      <c r="N15" s="931">
        <f>'[1]3.8 - Costos CCP '!$F$35</f>
        <v>1624.4423187882423</v>
      </c>
      <c r="O15" s="1124">
        <f>'[1]3.8 - Costos CCP '!$F$35</f>
        <v>1624.4423187882423</v>
      </c>
      <c r="P15" s="932">
        <v>19493.307825458909</v>
      </c>
      <c r="Q15" s="931">
        <v>3320.3600996031673</v>
      </c>
      <c r="R15" s="931">
        <v>3320.3600996031673</v>
      </c>
      <c r="S15" s="931">
        <v>3320.3600996031673</v>
      </c>
      <c r="T15" s="931">
        <v>3320.3600996031673</v>
      </c>
      <c r="U15" s="931">
        <v>3320.3600996031673</v>
      </c>
      <c r="V15" s="931">
        <v>3320.3600996031673</v>
      </c>
      <c r="W15" s="931">
        <v>3320.3600996031673</v>
      </c>
      <c r="X15" s="931">
        <v>3320.3600996031673</v>
      </c>
      <c r="Y15" s="931">
        <v>3320.3600996031673</v>
      </c>
      <c r="Z15" s="931">
        <v>3320.3600996031673</v>
      </c>
      <c r="AA15" s="931">
        <v>3320.3600996031673</v>
      </c>
      <c r="AB15" s="944">
        <v>3320.3600996031673</v>
      </c>
      <c r="AC15" s="932">
        <v>39844.321195238008</v>
      </c>
      <c r="AD15" s="933">
        <v>3393.408021794437</v>
      </c>
      <c r="AE15" s="933">
        <v>3393.408021794437</v>
      </c>
      <c r="AF15" s="933">
        <v>3393.408021794437</v>
      </c>
      <c r="AG15" s="933">
        <v>3393.408021794437</v>
      </c>
      <c r="AH15" s="933">
        <v>3393.408021794437</v>
      </c>
      <c r="AI15" s="933">
        <v>3393.408021794437</v>
      </c>
      <c r="AJ15" s="933">
        <v>3393.408021794437</v>
      </c>
      <c r="AK15" s="933">
        <v>3393.408021794437</v>
      </c>
      <c r="AL15" s="933">
        <v>3393.408021794437</v>
      </c>
      <c r="AM15" s="933">
        <v>3393.408021794437</v>
      </c>
      <c r="AN15" s="933">
        <v>3393.408021794437</v>
      </c>
      <c r="AO15" s="973">
        <v>3393.408021794437</v>
      </c>
      <c r="AP15" s="932">
        <v>40720.896261533235</v>
      </c>
      <c r="AQ15" s="931">
        <v>3468.0629982739147</v>
      </c>
      <c r="AR15" s="931">
        <v>3468.0629982739147</v>
      </c>
      <c r="AS15" s="931">
        <v>3468.0629982739147</v>
      </c>
      <c r="AT15" s="931">
        <v>3468.0629982739147</v>
      </c>
      <c r="AU15" s="931">
        <v>3468.0629982739147</v>
      </c>
      <c r="AV15" s="931">
        <v>3468.0629982739147</v>
      </c>
      <c r="AW15" s="931">
        <v>3468.0629982739147</v>
      </c>
      <c r="AX15" s="931">
        <v>3468.0629982739147</v>
      </c>
      <c r="AY15" s="931">
        <v>3468.0629982739147</v>
      </c>
      <c r="AZ15" s="931">
        <v>3468.0629982739147</v>
      </c>
      <c r="BA15" s="931">
        <v>3468.0629982739147</v>
      </c>
      <c r="BB15" s="944">
        <v>3468.0629982739147</v>
      </c>
      <c r="BC15" s="932">
        <v>41616.755979286972</v>
      </c>
      <c r="BD15" s="931">
        <v>5316.5405763539111</v>
      </c>
      <c r="BE15" s="931">
        <v>5316.5405763539111</v>
      </c>
      <c r="BF15" s="931">
        <v>5316.5405763539111</v>
      </c>
      <c r="BG15" s="931">
        <v>5316.5405763539111</v>
      </c>
      <c r="BH15" s="931">
        <v>5316.5405763539111</v>
      </c>
      <c r="BI15" s="931">
        <v>5316.5405763539111</v>
      </c>
      <c r="BJ15" s="931">
        <v>5316.5405763539111</v>
      </c>
      <c r="BK15" s="931">
        <v>5316.5405763539111</v>
      </c>
      <c r="BL15" s="931">
        <v>5316.5405763539111</v>
      </c>
      <c r="BM15" s="931">
        <v>5316.5405763539111</v>
      </c>
      <c r="BN15" s="931">
        <v>5316.5405763539111</v>
      </c>
      <c r="BO15" s="944">
        <v>5316.5405763539111</v>
      </c>
      <c r="BP15" s="932">
        <v>63798.486916246919</v>
      </c>
      <c r="BR15" s="315" t="s">
        <v>1181</v>
      </c>
      <c r="BS15" s="212"/>
      <c r="BT15" s="212">
        <v>0</v>
      </c>
      <c r="BU15" s="212">
        <v>0</v>
      </c>
      <c r="BV15" s="212">
        <v>123437.06702603493</v>
      </c>
      <c r="BW15" s="212">
        <v>0</v>
      </c>
      <c r="BX15" s="286">
        <v>2082.2121270406287</v>
      </c>
      <c r="BZ15" s="366" t="s">
        <v>1233</v>
      </c>
      <c r="CA15" s="361">
        <v>-616128.50180179044</v>
      </c>
      <c r="CB15" s="1254">
        <v>1405.6771677570232</v>
      </c>
      <c r="CC15" s="1254">
        <v>268841.33868021704</v>
      </c>
      <c r="CD15" s="1254">
        <v>702760.18479695241</v>
      </c>
      <c r="CE15" s="1254">
        <v>1230890.7892832058</v>
      </c>
    </row>
    <row r="16" spans="2:83" ht="15" thickBot="1">
      <c r="B16" s="1740"/>
      <c r="C16" s="462" t="s">
        <v>1147</v>
      </c>
      <c r="D16" s="965">
        <f>D9*'[1]3.8 - Costos CCP '!$E$15</f>
        <v>0</v>
      </c>
      <c r="E16" s="946">
        <f>E9*'[1]3.8 - Costos CCP '!$E$15</f>
        <v>0</v>
      </c>
      <c r="F16" s="946">
        <f>F9*'[1]3.8 - Costos CCP '!$E$15</f>
        <v>1337.9018630998264</v>
      </c>
      <c r="G16" s="946">
        <f>G9*'[1]3.8 - Costos CCP '!$E$15</f>
        <v>1216.2744209998421</v>
      </c>
      <c r="H16" s="946">
        <f>H9*'[1]3.8 - Costos CCP '!$E$15</f>
        <v>1277.0881420498342</v>
      </c>
      <c r="I16" s="946">
        <f>I9*'[1]3.8 - Costos CCP '!$E$15</f>
        <v>1216.2744209998421</v>
      </c>
      <c r="J16" s="946">
        <f>J9*'[1]3.8 - Costos CCP '!$E$15</f>
        <v>1292.2915723123322</v>
      </c>
      <c r="K16" s="946">
        <f>K9*'[1]3.8 - Costos CCP '!$E$15</f>
        <v>1421.5207295435653</v>
      </c>
      <c r="L16" s="946">
        <f>L9*'[1]3.8 - Costos CCP '!$E$15</f>
        <v>1356.9061509279486</v>
      </c>
      <c r="M16" s="946">
        <f>M9*'[1]3.8 - Costos CCP '!$E$15</f>
        <v>1356.9061509279486</v>
      </c>
      <c r="N16" s="946">
        <f>N9*'[1]3.8 - Costos CCP '!$E$15</f>
        <v>1292.2915723123322</v>
      </c>
      <c r="O16" s="1125">
        <f>O9*'[1]3.8 - Costos CCP '!$E$15</f>
        <v>1421.5207295435653</v>
      </c>
      <c r="P16" s="920">
        <v>13188.975752717037</v>
      </c>
      <c r="Q16" s="946">
        <v>810.08978125886404</v>
      </c>
      <c r="R16" s="965">
        <v>771.51407738939429</v>
      </c>
      <c r="S16" s="965">
        <v>848.66548512833378</v>
      </c>
      <c r="T16" s="965">
        <v>771.51407738939429</v>
      </c>
      <c r="U16" s="965">
        <v>810.08978125886404</v>
      </c>
      <c r="V16" s="965">
        <v>771.51407738939429</v>
      </c>
      <c r="W16" s="965">
        <v>771.51407738939429</v>
      </c>
      <c r="X16" s="965">
        <v>848.66548512833378</v>
      </c>
      <c r="Y16" s="965">
        <v>810.08978125886404</v>
      </c>
      <c r="Z16" s="965">
        <v>810.08978125886404</v>
      </c>
      <c r="AA16" s="965">
        <v>771.51407738939429</v>
      </c>
      <c r="AB16" s="966">
        <v>848.66548512833378</v>
      </c>
      <c r="AC16" s="920">
        <v>9643.9259673674278</v>
      </c>
      <c r="AD16" s="950">
        <v>2034.0737050907478</v>
      </c>
      <c r="AE16" s="950">
        <v>1937.2130524673787</v>
      </c>
      <c r="AF16" s="950">
        <v>2130.9343577141171</v>
      </c>
      <c r="AG16" s="950">
        <v>1937.2130524673787</v>
      </c>
      <c r="AH16" s="950">
        <v>2034.0737050907478</v>
      </c>
      <c r="AI16" s="950">
        <v>1937.2130524673787</v>
      </c>
      <c r="AJ16" s="950">
        <v>1937.2130524673787</v>
      </c>
      <c r="AK16" s="950">
        <v>2130.9343577141171</v>
      </c>
      <c r="AL16" s="950">
        <v>2034.0737050907478</v>
      </c>
      <c r="AM16" s="950">
        <v>2034.0737050907478</v>
      </c>
      <c r="AN16" s="950">
        <v>1937.2130524673787</v>
      </c>
      <c r="AO16" s="967">
        <v>2130.9343577141171</v>
      </c>
      <c r="AP16" s="920">
        <v>24215.163155842238</v>
      </c>
      <c r="AQ16" s="946">
        <v>1536.674188582019</v>
      </c>
      <c r="AR16" s="965">
        <v>1463.4992272209704</v>
      </c>
      <c r="AS16" s="965">
        <v>1609.8491499430675</v>
      </c>
      <c r="AT16" s="965">
        <v>1463.4992272209704</v>
      </c>
      <c r="AU16" s="965">
        <v>1536.674188582019</v>
      </c>
      <c r="AV16" s="965">
        <v>1463.4992272209704</v>
      </c>
      <c r="AW16" s="965">
        <v>1463.4992272209704</v>
      </c>
      <c r="AX16" s="965">
        <v>1609.8491499430675</v>
      </c>
      <c r="AY16" s="965">
        <v>1536.674188582019</v>
      </c>
      <c r="AZ16" s="965">
        <v>1536.674188582019</v>
      </c>
      <c r="BA16" s="965">
        <v>1463.4992272209704</v>
      </c>
      <c r="BB16" s="966">
        <v>1609.8491499430675</v>
      </c>
      <c r="BC16" s="920">
        <v>18293.740340262131</v>
      </c>
      <c r="BD16" s="946">
        <v>2092.0191157318886</v>
      </c>
      <c r="BE16" s="946">
        <v>1992.3991578398936</v>
      </c>
      <c r="BF16" s="946">
        <v>2191.6390736238827</v>
      </c>
      <c r="BG16" s="946">
        <v>1992.3991578398936</v>
      </c>
      <c r="BH16" s="946">
        <v>2092.0191157318886</v>
      </c>
      <c r="BI16" s="946">
        <v>1992.3991578398936</v>
      </c>
      <c r="BJ16" s="946">
        <v>1992.3991578398936</v>
      </c>
      <c r="BK16" s="946">
        <v>2191.6390736238827</v>
      </c>
      <c r="BL16" s="946">
        <v>2092.0191157318886</v>
      </c>
      <c r="BM16" s="946">
        <v>2092.0191157318886</v>
      </c>
      <c r="BN16" s="946">
        <v>1992.3991578398936</v>
      </c>
      <c r="BO16" s="949">
        <v>2191.6390736238827</v>
      </c>
      <c r="BP16" s="920">
        <v>24904.989472998666</v>
      </c>
      <c r="BR16" s="315" t="s">
        <v>1182</v>
      </c>
      <c r="BS16" s="879"/>
      <c r="BT16" s="879">
        <v>393254.28</v>
      </c>
      <c r="BU16" s="879">
        <v>60566.879999999983</v>
      </c>
      <c r="BV16" s="879">
        <v>60566.879999999983</v>
      </c>
      <c r="BW16" s="879">
        <v>60566.879999999983</v>
      </c>
      <c r="BX16" s="1165">
        <v>0</v>
      </c>
      <c r="BZ16" s="237" t="s">
        <v>1161</v>
      </c>
      <c r="CA16" s="368">
        <v>0</v>
      </c>
      <c r="CB16" s="368">
        <v>351.4192919392558</v>
      </c>
      <c r="CC16" s="368">
        <v>0</v>
      </c>
      <c r="CD16" s="368">
        <v>0</v>
      </c>
      <c r="CE16" s="368">
        <v>0</v>
      </c>
    </row>
    <row r="17" spans="2:83">
      <c r="B17" s="1727" t="s">
        <v>1148</v>
      </c>
      <c r="C17" s="313" t="s">
        <v>1149</v>
      </c>
      <c r="D17" s="958">
        <f>'[1]3.11 - Presupuesto gastos'!$C$7</f>
        <v>2826.0674625935167</v>
      </c>
      <c r="E17" s="938">
        <f>'[1]3.11 - Presupuesto gastos'!$C$7</f>
        <v>2826.0674625935167</v>
      </c>
      <c r="F17" s="938">
        <f>'[1]3.11 - Presupuesto gastos'!$C$7</f>
        <v>2826.0674625935167</v>
      </c>
      <c r="G17" s="938">
        <f>'[1]3.11 - Presupuesto gastos'!$C$7</f>
        <v>2826.0674625935167</v>
      </c>
      <c r="H17" s="938">
        <f>'[1]3.11 - Presupuesto gastos'!$C$7</f>
        <v>2826.0674625935167</v>
      </c>
      <c r="I17" s="938">
        <f>'[1]3.11 - Presupuesto gastos'!$C$7</f>
        <v>2826.0674625935167</v>
      </c>
      <c r="J17" s="938">
        <f>'[1]3.11 - Presupuesto gastos'!$C$7</f>
        <v>2826.0674625935167</v>
      </c>
      <c r="K17" s="938">
        <f>'[1]3.11 - Presupuesto gastos'!$C$7</f>
        <v>2826.0674625935167</v>
      </c>
      <c r="L17" s="938">
        <f>'[1]3.11 - Presupuesto gastos'!$C$7</f>
        <v>2826.0674625935167</v>
      </c>
      <c r="M17" s="938">
        <f>'[1]3.11 - Presupuesto gastos'!$C$7</f>
        <v>2826.0674625935167</v>
      </c>
      <c r="N17" s="938">
        <f>'[1]3.11 - Presupuesto gastos'!$C$7</f>
        <v>2826.0674625935167</v>
      </c>
      <c r="O17" s="1126">
        <f>'[1]3.11 - Presupuesto gastos'!$C$7</f>
        <v>2826.0674625935167</v>
      </c>
      <c r="P17" s="932">
        <v>33912.809551122198</v>
      </c>
      <c r="Q17" s="931">
        <v>2888.2409467705743</v>
      </c>
      <c r="R17" s="938">
        <v>2888.2409467705743</v>
      </c>
      <c r="S17" s="938">
        <v>2888.2409467705743</v>
      </c>
      <c r="T17" s="938">
        <v>2888.2409467705743</v>
      </c>
      <c r="U17" s="938">
        <v>2888.2409467705743</v>
      </c>
      <c r="V17" s="938">
        <v>2888.2409467705743</v>
      </c>
      <c r="W17" s="938">
        <v>2888.2409467705743</v>
      </c>
      <c r="X17" s="938">
        <v>2888.2409467705743</v>
      </c>
      <c r="Y17" s="938">
        <v>2888.2409467705743</v>
      </c>
      <c r="Z17" s="938">
        <v>2888.2409467705743</v>
      </c>
      <c r="AA17" s="938">
        <v>2888.2409467705743</v>
      </c>
      <c r="AB17" s="939">
        <v>2888.2409467705743</v>
      </c>
      <c r="AC17" s="932">
        <v>34658.891361246882</v>
      </c>
      <c r="AD17" s="933">
        <v>2951.7822475995267</v>
      </c>
      <c r="AE17" s="969">
        <v>2951.7822475995267</v>
      </c>
      <c r="AF17" s="969">
        <v>2951.7822475995267</v>
      </c>
      <c r="AG17" s="969">
        <v>2951.7822475995267</v>
      </c>
      <c r="AH17" s="969">
        <v>2951.7822475995267</v>
      </c>
      <c r="AI17" s="969">
        <v>2951.7822475995267</v>
      </c>
      <c r="AJ17" s="969">
        <v>2951.7822475995267</v>
      </c>
      <c r="AK17" s="969">
        <v>2951.7822475995267</v>
      </c>
      <c r="AL17" s="969">
        <v>2951.7822475995267</v>
      </c>
      <c r="AM17" s="969">
        <v>2951.7822475995267</v>
      </c>
      <c r="AN17" s="969">
        <v>2951.7822475995267</v>
      </c>
      <c r="AO17" s="974">
        <v>2951.7822475995267</v>
      </c>
      <c r="AP17" s="932">
        <v>35421.386971194319</v>
      </c>
      <c r="AQ17" s="931">
        <v>3016.7214570467168</v>
      </c>
      <c r="AR17" s="938">
        <v>3016.7214570467168</v>
      </c>
      <c r="AS17" s="938">
        <v>3016.7214570467168</v>
      </c>
      <c r="AT17" s="938">
        <v>3016.7214570467168</v>
      </c>
      <c r="AU17" s="938">
        <v>3016.7214570467168</v>
      </c>
      <c r="AV17" s="938">
        <v>3016.7214570467168</v>
      </c>
      <c r="AW17" s="938">
        <v>3016.7214570467168</v>
      </c>
      <c r="AX17" s="938">
        <v>3016.7214570467168</v>
      </c>
      <c r="AY17" s="938">
        <v>3016.7214570467168</v>
      </c>
      <c r="AZ17" s="938">
        <v>3016.7214570467168</v>
      </c>
      <c r="BA17" s="938">
        <v>3016.7214570467168</v>
      </c>
      <c r="BB17" s="939">
        <v>3016.7214570467168</v>
      </c>
      <c r="BC17" s="932">
        <v>36200.657484560608</v>
      </c>
      <c r="BD17" s="931">
        <v>3083.0893291017446</v>
      </c>
      <c r="BE17" s="938">
        <v>3083.0893291017446</v>
      </c>
      <c r="BF17" s="938">
        <v>3083.0893291017446</v>
      </c>
      <c r="BG17" s="938">
        <v>3083.0893291017446</v>
      </c>
      <c r="BH17" s="938">
        <v>3083.0893291017446</v>
      </c>
      <c r="BI17" s="938">
        <v>3083.0893291017446</v>
      </c>
      <c r="BJ17" s="938">
        <v>3083.0893291017446</v>
      </c>
      <c r="BK17" s="938">
        <v>3083.0893291017446</v>
      </c>
      <c r="BL17" s="938">
        <v>3083.0893291017446</v>
      </c>
      <c r="BM17" s="938">
        <v>3083.0893291017446</v>
      </c>
      <c r="BN17" s="938">
        <v>3083.0893291017446</v>
      </c>
      <c r="BO17" s="939">
        <v>3083.0893291017446</v>
      </c>
      <c r="BP17" s="932">
        <v>36997.071949220939</v>
      </c>
      <c r="BR17" s="301" t="s">
        <v>1161</v>
      </c>
      <c r="BS17" s="879"/>
      <c r="BT17" s="212">
        <v>0</v>
      </c>
      <c r="BU17" s="212">
        <v>351.4192919392558</v>
      </c>
      <c r="BV17" s="212">
        <v>0</v>
      </c>
      <c r="BW17" s="212">
        <v>0</v>
      </c>
      <c r="BX17" s="286">
        <v>0</v>
      </c>
      <c r="BZ17" s="237" t="s">
        <v>1162</v>
      </c>
      <c r="CA17" s="368">
        <v>0</v>
      </c>
      <c r="CB17" s="368">
        <v>0</v>
      </c>
      <c r="CC17" s="368">
        <v>78922.301604065113</v>
      </c>
      <c r="CD17" s="368">
        <v>0</v>
      </c>
      <c r="CE17" s="368">
        <v>0</v>
      </c>
    </row>
    <row r="18" spans="2:83">
      <c r="B18" s="1728"/>
      <c r="C18" s="274" t="s">
        <v>1150</v>
      </c>
      <c r="D18" s="961">
        <f>'[1]3.11 - Presupuesto gastos'!$C$8</f>
        <v>2597.9988603491274</v>
      </c>
      <c r="E18" s="929">
        <f>'[1]3.11 - Presupuesto gastos'!$C$8</f>
        <v>2597.9988603491274</v>
      </c>
      <c r="F18" s="929">
        <f>'[1]3.11 - Presupuesto gastos'!$C$8</f>
        <v>2597.9988603491274</v>
      </c>
      <c r="G18" s="929">
        <f>'[1]3.11 - Presupuesto gastos'!$C$8</f>
        <v>2597.9988603491274</v>
      </c>
      <c r="H18" s="929">
        <f>'[1]3.11 - Presupuesto gastos'!$C$8</f>
        <v>2597.9988603491274</v>
      </c>
      <c r="I18" s="929">
        <f>'[1]3.11 - Presupuesto gastos'!$C$8</f>
        <v>2597.9988603491274</v>
      </c>
      <c r="J18" s="929">
        <f>'[1]3.11 - Presupuesto gastos'!$C$8</f>
        <v>2597.9988603491274</v>
      </c>
      <c r="K18" s="929">
        <f>'[1]3.11 - Presupuesto gastos'!$C$8</f>
        <v>2597.9988603491274</v>
      </c>
      <c r="L18" s="929">
        <f>'[1]3.11 - Presupuesto gastos'!$C$8</f>
        <v>2597.9988603491274</v>
      </c>
      <c r="M18" s="929">
        <f>'[1]3.11 - Presupuesto gastos'!$C$8</f>
        <v>2597.9988603491274</v>
      </c>
      <c r="N18" s="929">
        <f>'[1]3.11 - Presupuesto gastos'!$C$8</f>
        <v>2597.9988603491274</v>
      </c>
      <c r="O18" s="1127">
        <f>'[1]3.11 - Presupuesto gastos'!$C$8</f>
        <v>2597.9988603491274</v>
      </c>
      <c r="P18" s="943">
        <v>31175.986324189536</v>
      </c>
      <c r="Q18" s="941">
        <v>2655.1548352768082</v>
      </c>
      <c r="R18" s="929">
        <v>2655.1548352768082</v>
      </c>
      <c r="S18" s="929">
        <v>2655.1548352768082</v>
      </c>
      <c r="T18" s="929">
        <v>2655.1548352768082</v>
      </c>
      <c r="U18" s="929">
        <v>2655.1548352768082</v>
      </c>
      <c r="V18" s="929">
        <v>2655.1548352768082</v>
      </c>
      <c r="W18" s="929">
        <v>2655.1548352768082</v>
      </c>
      <c r="X18" s="929">
        <v>2655.1548352768082</v>
      </c>
      <c r="Y18" s="929">
        <v>2655.1548352768082</v>
      </c>
      <c r="Z18" s="929">
        <v>2655.1548352768082</v>
      </c>
      <c r="AA18" s="929">
        <v>2655.1548352768082</v>
      </c>
      <c r="AB18" s="942">
        <v>2655.1548352768082</v>
      </c>
      <c r="AC18" s="943">
        <v>31861.858023321696</v>
      </c>
      <c r="AD18" s="921">
        <v>2713.568241652898</v>
      </c>
      <c r="AE18" s="968">
        <v>2713.568241652898</v>
      </c>
      <c r="AF18" s="968">
        <v>2713.568241652898</v>
      </c>
      <c r="AG18" s="968">
        <v>2713.568241652898</v>
      </c>
      <c r="AH18" s="968">
        <v>2713.568241652898</v>
      </c>
      <c r="AI18" s="968">
        <v>2713.568241652898</v>
      </c>
      <c r="AJ18" s="968">
        <v>2713.568241652898</v>
      </c>
      <c r="AK18" s="968">
        <v>2713.568241652898</v>
      </c>
      <c r="AL18" s="968">
        <v>2713.568241652898</v>
      </c>
      <c r="AM18" s="968">
        <v>2713.568241652898</v>
      </c>
      <c r="AN18" s="968">
        <v>2713.568241652898</v>
      </c>
      <c r="AO18" s="975">
        <v>2713.568241652898</v>
      </c>
      <c r="AP18" s="943">
        <v>32562.818899834776</v>
      </c>
      <c r="AQ18" s="941">
        <v>2773.2667429692615</v>
      </c>
      <c r="AR18" s="929">
        <v>2773.2667429692615</v>
      </c>
      <c r="AS18" s="929">
        <v>2773.2667429692615</v>
      </c>
      <c r="AT18" s="929">
        <v>2773.2667429692615</v>
      </c>
      <c r="AU18" s="929">
        <v>2773.2667429692615</v>
      </c>
      <c r="AV18" s="929">
        <v>2773.2667429692615</v>
      </c>
      <c r="AW18" s="929">
        <v>2773.2667429692615</v>
      </c>
      <c r="AX18" s="929">
        <v>2773.2667429692615</v>
      </c>
      <c r="AY18" s="929">
        <v>2773.2667429692615</v>
      </c>
      <c r="AZ18" s="929">
        <v>2773.2667429692615</v>
      </c>
      <c r="BA18" s="929">
        <v>2773.2667429692615</v>
      </c>
      <c r="BB18" s="942">
        <v>2773.2667429692615</v>
      </c>
      <c r="BC18" s="943">
        <v>33279.200915631147</v>
      </c>
      <c r="BD18" s="941">
        <v>2834.2786113145853</v>
      </c>
      <c r="BE18" s="929">
        <v>2834.2786113145853</v>
      </c>
      <c r="BF18" s="929">
        <v>2834.2786113145853</v>
      </c>
      <c r="BG18" s="929">
        <v>2834.2786113145853</v>
      </c>
      <c r="BH18" s="929">
        <v>2834.2786113145853</v>
      </c>
      <c r="BI18" s="929">
        <v>2834.2786113145853</v>
      </c>
      <c r="BJ18" s="929">
        <v>2834.2786113145853</v>
      </c>
      <c r="BK18" s="929">
        <v>2834.2786113145853</v>
      </c>
      <c r="BL18" s="929">
        <v>2834.2786113145853</v>
      </c>
      <c r="BM18" s="929">
        <v>2834.2786113145853</v>
      </c>
      <c r="BN18" s="929">
        <v>2834.2786113145853</v>
      </c>
      <c r="BO18" s="942">
        <v>2834.2786113145853</v>
      </c>
      <c r="BP18" s="943">
        <v>34011.343335775025</v>
      </c>
      <c r="BR18" s="301" t="s">
        <v>1162</v>
      </c>
      <c r="BS18" s="212"/>
      <c r="BT18" s="212">
        <v>0</v>
      </c>
      <c r="BU18" s="212">
        <v>0</v>
      </c>
      <c r="BV18" s="212">
        <v>78922.301604065113</v>
      </c>
      <c r="BW18" s="212">
        <v>0</v>
      </c>
      <c r="BX18" s="286">
        <v>0</v>
      </c>
      <c r="BZ18" s="237" t="s">
        <v>1163</v>
      </c>
      <c r="CA18" s="368">
        <v>0</v>
      </c>
      <c r="CB18" s="368">
        <v>0</v>
      </c>
      <c r="CC18" s="368">
        <v>0</v>
      </c>
      <c r="CD18" s="368">
        <v>226926.56467893336</v>
      </c>
      <c r="CE18" s="368">
        <v>411772.27624912199</v>
      </c>
    </row>
    <row r="19" spans="2:83">
      <c r="B19" s="1728"/>
      <c r="C19" s="274" t="s">
        <v>1151</v>
      </c>
      <c r="D19" s="961">
        <f>'[1]3.11 - Presupuesto gastos'!$C$9</f>
        <v>0</v>
      </c>
      <c r="E19" s="929">
        <f>'[1]3.11 - Presupuesto gastos'!$C$9</f>
        <v>0</v>
      </c>
      <c r="F19" s="929">
        <f>'[1]3.11 - Presupuesto gastos'!$C$9</f>
        <v>0</v>
      </c>
      <c r="G19" s="929">
        <f>'[1]3.11 - Presupuesto gastos'!$C$9</f>
        <v>0</v>
      </c>
      <c r="H19" s="929">
        <f>'[1]3.11 - Presupuesto gastos'!$C$9</f>
        <v>0</v>
      </c>
      <c r="I19" s="929">
        <f>'[1]3.11 - Presupuesto gastos'!$C$9</f>
        <v>0</v>
      </c>
      <c r="J19" s="929">
        <f>'[1]3.11 - Presupuesto gastos'!$C$9</f>
        <v>0</v>
      </c>
      <c r="K19" s="929">
        <f>'[1]3.11 - Presupuesto gastos'!$C$9</f>
        <v>0</v>
      </c>
      <c r="L19" s="929">
        <f>'[1]3.11 - Presupuesto gastos'!$C$9</f>
        <v>0</v>
      </c>
      <c r="M19" s="929">
        <f>'[1]3.11 - Presupuesto gastos'!$C$9</f>
        <v>0</v>
      </c>
      <c r="N19" s="929">
        <f>'[1]3.11 - Presupuesto gastos'!$C$9</f>
        <v>0</v>
      </c>
      <c r="O19" s="1127">
        <f>'[1]3.11 - Presupuesto gastos'!$C$9</f>
        <v>0</v>
      </c>
      <c r="P19" s="943">
        <v>0</v>
      </c>
      <c r="Q19" s="941">
        <v>0</v>
      </c>
      <c r="R19" s="929">
        <v>0</v>
      </c>
      <c r="S19" s="929">
        <v>0</v>
      </c>
      <c r="T19" s="929">
        <v>0</v>
      </c>
      <c r="U19" s="929">
        <v>0</v>
      </c>
      <c r="V19" s="929">
        <v>0</v>
      </c>
      <c r="W19" s="929">
        <v>0</v>
      </c>
      <c r="X19" s="929">
        <v>0</v>
      </c>
      <c r="Y19" s="929">
        <v>0</v>
      </c>
      <c r="Z19" s="929">
        <v>0</v>
      </c>
      <c r="AA19" s="929">
        <v>0</v>
      </c>
      <c r="AB19" s="942">
        <v>0</v>
      </c>
      <c r="AC19" s="943">
        <v>0</v>
      </c>
      <c r="AD19" s="921">
        <v>2713.568241652898</v>
      </c>
      <c r="AE19" s="968">
        <v>2713.568241652898</v>
      </c>
      <c r="AF19" s="968">
        <v>2713.568241652898</v>
      </c>
      <c r="AG19" s="968">
        <v>2713.568241652898</v>
      </c>
      <c r="AH19" s="968">
        <v>2713.568241652898</v>
      </c>
      <c r="AI19" s="968">
        <v>2713.568241652898</v>
      </c>
      <c r="AJ19" s="968">
        <v>2713.568241652898</v>
      </c>
      <c r="AK19" s="968">
        <v>2713.568241652898</v>
      </c>
      <c r="AL19" s="968">
        <v>2713.568241652898</v>
      </c>
      <c r="AM19" s="968">
        <v>2713.568241652898</v>
      </c>
      <c r="AN19" s="968">
        <v>2713.568241652898</v>
      </c>
      <c r="AO19" s="975">
        <v>2713.568241652898</v>
      </c>
      <c r="AP19" s="943">
        <v>32562.818899834776</v>
      </c>
      <c r="AQ19" s="941">
        <v>2773.2667429692615</v>
      </c>
      <c r="AR19" s="929">
        <v>2773.2667429692615</v>
      </c>
      <c r="AS19" s="929">
        <v>2773.2667429692615</v>
      </c>
      <c r="AT19" s="929">
        <v>2773.2667429692615</v>
      </c>
      <c r="AU19" s="929">
        <v>2773.2667429692615</v>
      </c>
      <c r="AV19" s="929">
        <v>2773.2667429692615</v>
      </c>
      <c r="AW19" s="929">
        <v>2773.2667429692615</v>
      </c>
      <c r="AX19" s="929">
        <v>2773.2667429692615</v>
      </c>
      <c r="AY19" s="929">
        <v>2773.2667429692615</v>
      </c>
      <c r="AZ19" s="929">
        <v>2773.2667429692615</v>
      </c>
      <c r="BA19" s="929">
        <v>2773.2667429692615</v>
      </c>
      <c r="BB19" s="942">
        <v>2773.2667429692615</v>
      </c>
      <c r="BC19" s="943">
        <v>33279.200915631147</v>
      </c>
      <c r="BD19" s="941">
        <v>2834.2786113145853</v>
      </c>
      <c r="BE19" s="929">
        <v>2834.2786113145853</v>
      </c>
      <c r="BF19" s="929">
        <v>2834.2786113145853</v>
      </c>
      <c r="BG19" s="929">
        <v>2834.2786113145853</v>
      </c>
      <c r="BH19" s="929">
        <v>2834.2786113145853</v>
      </c>
      <c r="BI19" s="929">
        <v>2834.2786113145853</v>
      </c>
      <c r="BJ19" s="929">
        <v>2834.2786113145853</v>
      </c>
      <c r="BK19" s="929">
        <v>2834.2786113145853</v>
      </c>
      <c r="BL19" s="929">
        <v>2834.2786113145853</v>
      </c>
      <c r="BM19" s="929">
        <v>2834.2786113145853</v>
      </c>
      <c r="BN19" s="929">
        <v>2834.2786113145853</v>
      </c>
      <c r="BO19" s="942">
        <v>2834.2786113145853</v>
      </c>
      <c r="BP19" s="943">
        <v>34011.343335775025</v>
      </c>
      <c r="BR19" s="301" t="s">
        <v>1163</v>
      </c>
      <c r="BS19" s="212"/>
      <c r="BT19" s="212">
        <v>0</v>
      </c>
      <c r="BU19" s="212">
        <v>0</v>
      </c>
      <c r="BV19" s="212">
        <v>0</v>
      </c>
      <c r="BW19" s="212">
        <v>226926.56467893336</v>
      </c>
      <c r="BX19" s="286">
        <v>411772.27624912199</v>
      </c>
      <c r="BZ19" s="366" t="s">
        <v>1234</v>
      </c>
      <c r="CA19" s="364">
        <v>-616128.50180179044</v>
      </c>
      <c r="CB19" s="357">
        <v>1054.2578758177674</v>
      </c>
      <c r="CC19" s="364">
        <v>189919.03707615193</v>
      </c>
      <c r="CD19" s="364">
        <v>475833.62011801905</v>
      </c>
      <c r="CE19" s="364">
        <v>819118.51303408376</v>
      </c>
    </row>
    <row r="20" spans="2:83" ht="15" thickBot="1">
      <c r="B20" s="1728"/>
      <c r="C20" s="274" t="s">
        <v>1152</v>
      </c>
      <c r="D20" s="961">
        <f>'[1]3.11 - Presupuesto gastos'!$C$10</f>
        <v>0</v>
      </c>
      <c r="E20" s="929">
        <f>'[1]3.11 - Presupuesto gastos'!$C$10</f>
        <v>0</v>
      </c>
      <c r="F20" s="929">
        <f>'[1]3.11 - Presupuesto gastos'!$C$10</f>
        <v>0</v>
      </c>
      <c r="G20" s="929">
        <f>'[1]3.11 - Presupuesto gastos'!$C$10</f>
        <v>0</v>
      </c>
      <c r="H20" s="929">
        <f>'[1]3.11 - Presupuesto gastos'!$C$10</f>
        <v>0</v>
      </c>
      <c r="I20" s="929">
        <f>'[1]3.11 - Presupuesto gastos'!$C$10</f>
        <v>0</v>
      </c>
      <c r="J20" s="929">
        <f>'[1]3.11 - Presupuesto gastos'!$C$10</f>
        <v>0</v>
      </c>
      <c r="K20" s="929">
        <f>'[1]3.11 - Presupuesto gastos'!$C$10</f>
        <v>0</v>
      </c>
      <c r="L20" s="929">
        <f>'[1]3.11 - Presupuesto gastos'!$C$10</f>
        <v>0</v>
      </c>
      <c r="M20" s="929">
        <f>'[1]3.11 - Presupuesto gastos'!$C$10</f>
        <v>0</v>
      </c>
      <c r="N20" s="929">
        <f>'[1]3.11 - Presupuesto gastos'!$C$10</f>
        <v>0</v>
      </c>
      <c r="O20" s="1127">
        <f>'[1]3.11 - Presupuesto gastos'!$C$10</f>
        <v>0</v>
      </c>
      <c r="P20" s="943">
        <v>0</v>
      </c>
      <c r="Q20" s="941">
        <v>0</v>
      </c>
      <c r="R20" s="929">
        <v>0</v>
      </c>
      <c r="S20" s="929">
        <v>0</v>
      </c>
      <c r="T20" s="929">
        <v>0</v>
      </c>
      <c r="U20" s="929">
        <v>0</v>
      </c>
      <c r="V20" s="929">
        <v>0</v>
      </c>
      <c r="W20" s="929">
        <v>0</v>
      </c>
      <c r="X20" s="929">
        <v>0</v>
      </c>
      <c r="Y20" s="929">
        <v>0</v>
      </c>
      <c r="Z20" s="929">
        <v>0</v>
      </c>
      <c r="AA20" s="929">
        <v>0</v>
      </c>
      <c r="AB20" s="942">
        <v>0</v>
      </c>
      <c r="AC20" s="943">
        <v>0</v>
      </c>
      <c r="AD20" s="921">
        <v>2713.568241652898</v>
      </c>
      <c r="AE20" s="968">
        <v>2713.568241652898</v>
      </c>
      <c r="AF20" s="968">
        <v>2713.568241652898</v>
      </c>
      <c r="AG20" s="968">
        <v>2713.568241652898</v>
      </c>
      <c r="AH20" s="968">
        <v>2713.568241652898</v>
      </c>
      <c r="AI20" s="968">
        <v>2713.568241652898</v>
      </c>
      <c r="AJ20" s="968">
        <v>2713.568241652898</v>
      </c>
      <c r="AK20" s="968">
        <v>2713.568241652898</v>
      </c>
      <c r="AL20" s="968">
        <v>2713.568241652898</v>
      </c>
      <c r="AM20" s="968">
        <v>2713.568241652898</v>
      </c>
      <c r="AN20" s="968">
        <v>2713.568241652898</v>
      </c>
      <c r="AO20" s="975">
        <v>2713.568241652898</v>
      </c>
      <c r="AP20" s="943">
        <v>32562.818899834776</v>
      </c>
      <c r="AQ20" s="941">
        <v>2773.2667429692615</v>
      </c>
      <c r="AR20" s="929">
        <v>2773.2667429692615</v>
      </c>
      <c r="AS20" s="929">
        <v>2773.2667429692615</v>
      </c>
      <c r="AT20" s="929">
        <v>2773.2667429692615</v>
      </c>
      <c r="AU20" s="929">
        <v>2773.2667429692615</v>
      </c>
      <c r="AV20" s="929">
        <v>2773.2667429692615</v>
      </c>
      <c r="AW20" s="929">
        <v>2773.2667429692615</v>
      </c>
      <c r="AX20" s="929">
        <v>2773.2667429692615</v>
      </c>
      <c r="AY20" s="929">
        <v>2773.2667429692615</v>
      </c>
      <c r="AZ20" s="929">
        <v>2773.2667429692615</v>
      </c>
      <c r="BA20" s="929">
        <v>2773.2667429692615</v>
      </c>
      <c r="BB20" s="942">
        <v>2773.2667429692615</v>
      </c>
      <c r="BC20" s="943">
        <v>33279.200915631147</v>
      </c>
      <c r="BD20" s="941">
        <v>2834.2786113145853</v>
      </c>
      <c r="BE20" s="929">
        <v>2834.2786113145853</v>
      </c>
      <c r="BF20" s="929">
        <v>2834.2786113145853</v>
      </c>
      <c r="BG20" s="929">
        <v>2834.2786113145853</v>
      </c>
      <c r="BH20" s="929">
        <v>2834.2786113145853</v>
      </c>
      <c r="BI20" s="929">
        <v>2834.2786113145853</v>
      </c>
      <c r="BJ20" s="929">
        <v>2834.2786113145853</v>
      </c>
      <c r="BK20" s="929">
        <v>2834.2786113145853</v>
      </c>
      <c r="BL20" s="929">
        <v>2834.2786113145853</v>
      </c>
      <c r="BM20" s="929">
        <v>2834.2786113145853</v>
      </c>
      <c r="BN20" s="929">
        <v>2834.2786113145853</v>
      </c>
      <c r="BO20" s="942">
        <v>2834.2786113145853</v>
      </c>
      <c r="BP20" s="943">
        <v>34011.343335775025</v>
      </c>
      <c r="BR20" s="301" t="s">
        <v>1164</v>
      </c>
      <c r="BS20" s="212"/>
      <c r="BT20" s="212">
        <v>3513.5568480926649</v>
      </c>
      <c r="BU20" s="212">
        <v>15724.428615499177</v>
      </c>
      <c r="BV20" s="212">
        <v>26377.890181257539</v>
      </c>
      <c r="BW20" s="212">
        <v>39235.874132085934</v>
      </c>
      <c r="BX20" s="286">
        <v>54591.783005905469</v>
      </c>
      <c r="BZ20" s="367" t="s">
        <v>679</v>
      </c>
      <c r="CA20" s="365">
        <v>-616128.50180179044</v>
      </c>
      <c r="CB20" s="358">
        <v>-615074.24392597273</v>
      </c>
      <c r="CC20" s="365">
        <v>-425155.2068498208</v>
      </c>
      <c r="CD20" s="365">
        <v>50678.413268198259</v>
      </c>
      <c r="CE20" s="365">
        <v>869796.92630228202</v>
      </c>
    </row>
    <row r="21" spans="2:83" ht="15" thickBot="1">
      <c r="B21" s="1728"/>
      <c r="C21" s="274" t="s">
        <v>1153</v>
      </c>
      <c r="D21" s="961">
        <f>'[1]3.11 - Presupuesto gastos'!$C$10</f>
        <v>0</v>
      </c>
      <c r="E21" s="929">
        <f>'[1]3.11 - Presupuesto gastos'!$C$10</f>
        <v>0</v>
      </c>
      <c r="F21" s="929">
        <f>'[1]3.11 - Presupuesto gastos'!$C$10</f>
        <v>0</v>
      </c>
      <c r="G21" s="929">
        <f>'[1]3.11 - Presupuesto gastos'!$C$10</f>
        <v>0</v>
      </c>
      <c r="H21" s="929">
        <f>'[1]3.11 - Presupuesto gastos'!$C$10</f>
        <v>0</v>
      </c>
      <c r="I21" s="929">
        <f>'[1]3.11 - Presupuesto gastos'!$C$10</f>
        <v>0</v>
      </c>
      <c r="J21" s="929">
        <f>'[1]3.11 - Presupuesto gastos'!$C$10</f>
        <v>0</v>
      </c>
      <c r="K21" s="929">
        <f>'[1]3.11 - Presupuesto gastos'!$C$10</f>
        <v>0</v>
      </c>
      <c r="L21" s="929">
        <f>'[1]3.11 - Presupuesto gastos'!$C$10</f>
        <v>0</v>
      </c>
      <c r="M21" s="929">
        <f>'[1]3.11 - Presupuesto gastos'!$C$10</f>
        <v>0</v>
      </c>
      <c r="N21" s="929">
        <f>'[1]3.11 - Presupuesto gastos'!$C$10</f>
        <v>0</v>
      </c>
      <c r="O21" s="1127">
        <f>'[1]3.11 - Presupuesto gastos'!$C$10</f>
        <v>0</v>
      </c>
      <c r="P21" s="943">
        <v>0</v>
      </c>
      <c r="Q21" s="941">
        <v>0</v>
      </c>
      <c r="R21" s="929">
        <v>0</v>
      </c>
      <c r="S21" s="929">
        <v>0</v>
      </c>
      <c r="T21" s="929">
        <v>0</v>
      </c>
      <c r="U21" s="929">
        <v>0</v>
      </c>
      <c r="V21" s="929">
        <v>0</v>
      </c>
      <c r="W21" s="929">
        <v>0</v>
      </c>
      <c r="X21" s="929">
        <v>0</v>
      </c>
      <c r="Y21" s="929">
        <v>0</v>
      </c>
      <c r="Z21" s="929">
        <v>0</v>
      </c>
      <c r="AA21" s="929">
        <v>0</v>
      </c>
      <c r="AB21" s="942">
        <v>0</v>
      </c>
      <c r="AC21" s="943">
        <v>0</v>
      </c>
      <c r="AD21" s="921">
        <v>0</v>
      </c>
      <c r="AE21" s="968">
        <v>0</v>
      </c>
      <c r="AF21" s="968">
        <v>0</v>
      </c>
      <c r="AG21" s="968">
        <v>0</v>
      </c>
      <c r="AH21" s="968">
        <v>0</v>
      </c>
      <c r="AI21" s="968">
        <v>0</v>
      </c>
      <c r="AJ21" s="968">
        <v>0</v>
      </c>
      <c r="AK21" s="968">
        <v>0</v>
      </c>
      <c r="AL21" s="968">
        <v>0</v>
      </c>
      <c r="AM21" s="968">
        <v>0</v>
      </c>
      <c r="AN21" s="968">
        <v>0</v>
      </c>
      <c r="AO21" s="975">
        <v>0</v>
      </c>
      <c r="AP21" s="943">
        <v>0</v>
      </c>
      <c r="AQ21" s="941">
        <v>1996.3286554351253</v>
      </c>
      <c r="AR21" s="929">
        <v>1996.3286554351253</v>
      </c>
      <c r="AS21" s="929">
        <v>1996.3286554351253</v>
      </c>
      <c r="AT21" s="929">
        <v>1996.3286554351253</v>
      </c>
      <c r="AU21" s="929">
        <v>1996.3286554351253</v>
      </c>
      <c r="AV21" s="929">
        <v>1996.3286554351253</v>
      </c>
      <c r="AW21" s="929">
        <v>1996.3286554351253</v>
      </c>
      <c r="AX21" s="929">
        <v>1996.3286554351253</v>
      </c>
      <c r="AY21" s="929">
        <v>1996.3286554351253</v>
      </c>
      <c r="AZ21" s="929">
        <v>1996.3286554351253</v>
      </c>
      <c r="BA21" s="929">
        <v>1996.3286554351253</v>
      </c>
      <c r="BB21" s="942">
        <v>1996.3286554351253</v>
      </c>
      <c r="BC21" s="943">
        <v>23955.943865221503</v>
      </c>
      <c r="BD21" s="941">
        <v>2040.2478858546979</v>
      </c>
      <c r="BE21" s="929">
        <v>2040.2478858546979</v>
      </c>
      <c r="BF21" s="929">
        <v>2040.2478858546979</v>
      </c>
      <c r="BG21" s="929">
        <v>2040.2478858546979</v>
      </c>
      <c r="BH21" s="929">
        <v>2040.2478858546979</v>
      </c>
      <c r="BI21" s="929">
        <v>2040.2478858546979</v>
      </c>
      <c r="BJ21" s="929">
        <v>2040.2478858546979</v>
      </c>
      <c r="BK21" s="929">
        <v>2040.2478858546979</v>
      </c>
      <c r="BL21" s="929">
        <v>2040.2478858546979</v>
      </c>
      <c r="BM21" s="929">
        <v>2040.2478858546979</v>
      </c>
      <c r="BN21" s="929">
        <v>2040.2478858546979</v>
      </c>
      <c r="BO21" s="942">
        <v>2040.2478858546979</v>
      </c>
      <c r="BP21" s="943">
        <v>24482.974630256373</v>
      </c>
      <c r="BR21" s="317" t="s">
        <v>1183</v>
      </c>
      <c r="BS21" s="319">
        <v>0</v>
      </c>
      <c r="BT21" s="319">
        <v>910558.38217389793</v>
      </c>
      <c r="BU21" s="319">
        <v>1036448.5036870219</v>
      </c>
      <c r="BV21" s="319">
        <v>1990567.8901080901</v>
      </c>
      <c r="BW21" s="319">
        <v>2135660.6726976554</v>
      </c>
      <c r="BX21" s="321">
        <v>3080210.6371071511</v>
      </c>
    </row>
    <row r="22" spans="2:83" ht="15" thickBot="1">
      <c r="B22" s="1729"/>
      <c r="C22" s="275" t="s">
        <v>1154</v>
      </c>
      <c r="D22" s="936">
        <f>'[1]3.11 - Presupuesto gastos'!$C$12</f>
        <v>3877.1662381546139</v>
      </c>
      <c r="E22" s="919">
        <f>'[1]3.11 - Presupuesto gastos'!$C$12</f>
        <v>3877.1662381546139</v>
      </c>
      <c r="F22" s="919">
        <f>'[1]3.11 - Presupuesto gastos'!$C$12</f>
        <v>3877.1662381546139</v>
      </c>
      <c r="G22" s="919">
        <f>'[1]3.11 - Presupuesto gastos'!$C$12</f>
        <v>3877.1662381546139</v>
      </c>
      <c r="H22" s="919">
        <f>'[1]3.11 - Presupuesto gastos'!$C$12</f>
        <v>3877.1662381546139</v>
      </c>
      <c r="I22" s="919">
        <f>'[1]3.11 - Presupuesto gastos'!$C$12</f>
        <v>3877.1662381546139</v>
      </c>
      <c r="J22" s="919">
        <f>'[1]3.11 - Presupuesto gastos'!$C$12</f>
        <v>3877.1662381546139</v>
      </c>
      <c r="K22" s="919">
        <f>'[1]3.11 - Presupuesto gastos'!$C$12</f>
        <v>3877.1662381546139</v>
      </c>
      <c r="L22" s="919">
        <f>'[1]3.11 - Presupuesto gastos'!$C$12</f>
        <v>3877.1662381546139</v>
      </c>
      <c r="M22" s="919">
        <f>'[1]3.11 - Presupuesto gastos'!$C$12</f>
        <v>3877.1662381546139</v>
      </c>
      <c r="N22" s="919">
        <f>'[1]3.11 - Presupuesto gastos'!$C$12</f>
        <v>3877.1662381546139</v>
      </c>
      <c r="O22" s="964">
        <f>'[1]3.11 - Presupuesto gastos'!$C$12</f>
        <v>3877.1662381546139</v>
      </c>
      <c r="P22" s="935">
        <v>46525.994857855352</v>
      </c>
      <c r="Q22" s="934">
        <v>3962.4638953940157</v>
      </c>
      <c r="R22" s="919">
        <v>3962.4638953940157</v>
      </c>
      <c r="S22" s="919">
        <v>3962.4638953940157</v>
      </c>
      <c r="T22" s="919">
        <v>3962.4638953940157</v>
      </c>
      <c r="U22" s="919">
        <v>3962.4638953940157</v>
      </c>
      <c r="V22" s="919">
        <v>3962.4638953940157</v>
      </c>
      <c r="W22" s="919">
        <v>3962.4638953940157</v>
      </c>
      <c r="X22" s="919">
        <v>3962.4638953940157</v>
      </c>
      <c r="Y22" s="919">
        <v>3962.4638953940157</v>
      </c>
      <c r="Z22" s="919">
        <v>3962.4638953940157</v>
      </c>
      <c r="AA22" s="919">
        <v>3962.4638953940157</v>
      </c>
      <c r="AB22" s="940">
        <v>3962.4638953940157</v>
      </c>
      <c r="AC22" s="935">
        <v>47549.566744728188</v>
      </c>
      <c r="AD22" s="937">
        <v>4049.6381010926843</v>
      </c>
      <c r="AE22" s="970">
        <v>4049.6381010926843</v>
      </c>
      <c r="AF22" s="970">
        <v>4049.6381010926843</v>
      </c>
      <c r="AG22" s="970">
        <v>4049.6381010926843</v>
      </c>
      <c r="AH22" s="970">
        <v>4049.6381010926843</v>
      </c>
      <c r="AI22" s="970">
        <v>4049.6381010926843</v>
      </c>
      <c r="AJ22" s="970">
        <v>4049.6381010926843</v>
      </c>
      <c r="AK22" s="970">
        <v>4049.6381010926843</v>
      </c>
      <c r="AL22" s="970">
        <v>4049.6381010926843</v>
      </c>
      <c r="AM22" s="970">
        <v>4049.6381010926843</v>
      </c>
      <c r="AN22" s="970">
        <v>4049.6381010926843</v>
      </c>
      <c r="AO22" s="976">
        <v>4049.6381010926843</v>
      </c>
      <c r="AP22" s="935">
        <v>48595.657213112216</v>
      </c>
      <c r="AQ22" s="934">
        <v>4138.7301393167236</v>
      </c>
      <c r="AR22" s="919">
        <v>4138.7301393167236</v>
      </c>
      <c r="AS22" s="919">
        <v>4138.7301393167236</v>
      </c>
      <c r="AT22" s="919">
        <v>4138.7301393167236</v>
      </c>
      <c r="AU22" s="919">
        <v>4138.7301393167236</v>
      </c>
      <c r="AV22" s="919">
        <v>4138.7301393167236</v>
      </c>
      <c r="AW22" s="919">
        <v>4138.7301393167236</v>
      </c>
      <c r="AX22" s="919">
        <v>4138.7301393167236</v>
      </c>
      <c r="AY22" s="919">
        <v>4138.7301393167236</v>
      </c>
      <c r="AZ22" s="919">
        <v>4138.7301393167236</v>
      </c>
      <c r="BA22" s="919">
        <v>4138.7301393167236</v>
      </c>
      <c r="BB22" s="940">
        <v>4138.7301393167236</v>
      </c>
      <c r="BC22" s="935">
        <v>49664.761671800668</v>
      </c>
      <c r="BD22" s="934">
        <v>4229.7822023816916</v>
      </c>
      <c r="BE22" s="919">
        <v>4229.7822023816916</v>
      </c>
      <c r="BF22" s="919">
        <v>4229.7822023816916</v>
      </c>
      <c r="BG22" s="919">
        <v>4229.7822023816916</v>
      </c>
      <c r="BH22" s="919">
        <v>4229.7822023816916</v>
      </c>
      <c r="BI22" s="919">
        <v>4229.7822023816916</v>
      </c>
      <c r="BJ22" s="919">
        <v>4229.7822023816916</v>
      </c>
      <c r="BK22" s="919">
        <v>4229.7822023816916</v>
      </c>
      <c r="BL22" s="919">
        <v>4229.7822023816916</v>
      </c>
      <c r="BM22" s="919">
        <v>4229.7822023816916</v>
      </c>
      <c r="BN22" s="919">
        <v>4229.7822023816916</v>
      </c>
      <c r="BO22" s="940">
        <v>4229.7822023816916</v>
      </c>
      <c r="BP22" s="935">
        <v>50757.386428580299</v>
      </c>
      <c r="BR22" s="1752"/>
      <c r="BS22" s="1753"/>
      <c r="BT22" s="1753"/>
      <c r="BU22" s="1753"/>
      <c r="BV22" s="1753"/>
      <c r="BW22" s="1753"/>
      <c r="BX22" s="1754"/>
    </row>
    <row r="23" spans="2:83" ht="15" thickBot="1">
      <c r="B23" s="1372" t="s">
        <v>608</v>
      </c>
      <c r="C23" s="1110"/>
      <c r="D23" s="1128">
        <f>'[1]3.11 - Presupuesto gastos'!$C$13</f>
        <v>3591.0224438902742</v>
      </c>
      <c r="E23" s="1112">
        <f>'[1]3.11 - Presupuesto gastos'!$C$13</f>
        <v>3591.0224438902742</v>
      </c>
      <c r="F23" s="1112">
        <f>'[1]3.11 - Presupuesto gastos'!$C$13</f>
        <v>3591.0224438902742</v>
      </c>
      <c r="G23" s="1112">
        <f>'[1]3.11 - Presupuesto gastos'!$C$13</f>
        <v>3591.0224438902742</v>
      </c>
      <c r="H23" s="1112">
        <f>'[1]3.11 - Presupuesto gastos'!$C$13</f>
        <v>3591.0224438902742</v>
      </c>
      <c r="I23" s="1112">
        <f>'[1]3.11 - Presupuesto gastos'!$C$13</f>
        <v>3591.0224438902742</v>
      </c>
      <c r="J23" s="1112">
        <f>'[1]3.11 - Presupuesto gastos'!$C$13</f>
        <v>3591.0224438902742</v>
      </c>
      <c r="K23" s="1112">
        <f>'[1]3.11 - Presupuesto gastos'!$C$13</f>
        <v>3591.0224438902742</v>
      </c>
      <c r="L23" s="1112">
        <f>'[1]3.11 - Presupuesto gastos'!$C$13</f>
        <v>3591.0224438902742</v>
      </c>
      <c r="M23" s="1112">
        <f>'[1]3.11 - Presupuesto gastos'!$C$13</f>
        <v>3591.0224438902742</v>
      </c>
      <c r="N23" s="1112">
        <f>'[1]3.11 - Presupuesto gastos'!$C$13</f>
        <v>3591.0224438902742</v>
      </c>
      <c r="O23" s="1129">
        <f>'[1]3.11 - Presupuesto gastos'!$C$13</f>
        <v>3591.0224438902742</v>
      </c>
      <c r="P23" s="1114">
        <v>43092.269326683287</v>
      </c>
      <c r="Q23" s="1111">
        <v>3670.0249376558604</v>
      </c>
      <c r="R23" s="1112">
        <v>3670.0249376558604</v>
      </c>
      <c r="S23" s="1112">
        <v>3670.0249376558604</v>
      </c>
      <c r="T23" s="1112">
        <v>3670.0249376558604</v>
      </c>
      <c r="U23" s="1112">
        <v>3670.0249376558604</v>
      </c>
      <c r="V23" s="1112">
        <v>3670.0249376558604</v>
      </c>
      <c r="W23" s="1112">
        <v>3670.0249376558604</v>
      </c>
      <c r="X23" s="1112">
        <v>3670.0249376558604</v>
      </c>
      <c r="Y23" s="1112">
        <v>3670.0249376558604</v>
      </c>
      <c r="Z23" s="1112">
        <v>3670.0249376558604</v>
      </c>
      <c r="AA23" s="1112">
        <v>3670.0249376558604</v>
      </c>
      <c r="AB23" s="1113">
        <v>3670.0249376558604</v>
      </c>
      <c r="AC23" s="1114">
        <v>44040.29925187034</v>
      </c>
      <c r="AD23" s="1115">
        <v>3750.7654862842892</v>
      </c>
      <c r="AE23" s="1116">
        <v>3750.7654862842892</v>
      </c>
      <c r="AF23" s="1116">
        <v>3750.7654862842892</v>
      </c>
      <c r="AG23" s="1116">
        <v>3750.7654862842892</v>
      </c>
      <c r="AH23" s="1116">
        <v>3750.7654862842892</v>
      </c>
      <c r="AI23" s="1116">
        <v>3750.7654862842892</v>
      </c>
      <c r="AJ23" s="1116">
        <v>3750.7654862842892</v>
      </c>
      <c r="AK23" s="1116">
        <v>3750.7654862842892</v>
      </c>
      <c r="AL23" s="1116">
        <v>3750.7654862842892</v>
      </c>
      <c r="AM23" s="1116">
        <v>3750.7654862842892</v>
      </c>
      <c r="AN23" s="1116">
        <v>3750.7654862842892</v>
      </c>
      <c r="AO23" s="1117">
        <v>3750.7654862842892</v>
      </c>
      <c r="AP23" s="1114">
        <v>45009.185835411474</v>
      </c>
      <c r="AQ23" s="1111">
        <v>3833.282326982544</v>
      </c>
      <c r="AR23" s="1111">
        <v>3833.282326982544</v>
      </c>
      <c r="AS23" s="1111">
        <v>3833.282326982544</v>
      </c>
      <c r="AT23" s="1111">
        <v>3833.282326982544</v>
      </c>
      <c r="AU23" s="1111">
        <v>3833.282326982544</v>
      </c>
      <c r="AV23" s="1111">
        <v>3833.282326982544</v>
      </c>
      <c r="AW23" s="1111">
        <v>3833.282326982544</v>
      </c>
      <c r="AX23" s="1111">
        <v>3833.282326982544</v>
      </c>
      <c r="AY23" s="1111">
        <v>3833.282326982544</v>
      </c>
      <c r="AZ23" s="1111">
        <v>3833.282326982544</v>
      </c>
      <c r="BA23" s="1111">
        <v>3833.282326982544</v>
      </c>
      <c r="BB23" s="1118">
        <v>3833.282326982544</v>
      </c>
      <c r="BC23" s="1114">
        <v>45999.387923790542</v>
      </c>
      <c r="BD23" s="1111">
        <v>3917.6145381761598</v>
      </c>
      <c r="BE23" s="1111">
        <v>3917.6145381761598</v>
      </c>
      <c r="BF23" s="1111">
        <v>3917.6145381761598</v>
      </c>
      <c r="BG23" s="1111">
        <v>3917.6145381761598</v>
      </c>
      <c r="BH23" s="1111">
        <v>3917.6145381761598</v>
      </c>
      <c r="BI23" s="1111">
        <v>3917.6145381761598</v>
      </c>
      <c r="BJ23" s="1111">
        <v>3917.6145381761598</v>
      </c>
      <c r="BK23" s="1111">
        <v>3917.6145381761598</v>
      </c>
      <c r="BL23" s="1111">
        <v>3917.6145381761598</v>
      </c>
      <c r="BM23" s="1111">
        <v>3917.6145381761598</v>
      </c>
      <c r="BN23" s="1111">
        <v>3917.6145381761598</v>
      </c>
      <c r="BO23" s="1118">
        <v>3917.6145381761598</v>
      </c>
      <c r="BP23" s="1114">
        <v>47011.374458113918</v>
      </c>
      <c r="BR23" s="322" t="s">
        <v>1184</v>
      </c>
      <c r="BS23" s="323">
        <v>565000</v>
      </c>
      <c r="BT23" s="323">
        <v>-676321.2589677202</v>
      </c>
      <c r="BU23" s="323">
        <v>11846.737346256617</v>
      </c>
      <c r="BV23" s="323">
        <v>-232041.87802425423</v>
      </c>
      <c r="BW23" s="323">
        <v>480064.26944140717</v>
      </c>
      <c r="BX23" s="324">
        <v>559241.56328654708</v>
      </c>
    </row>
    <row r="24" spans="2:83" ht="15" thickBot="1">
      <c r="B24" s="1727" t="s">
        <v>1155</v>
      </c>
      <c r="C24" s="313" t="s">
        <v>1030</v>
      </c>
      <c r="D24" s="958">
        <f>'[1]3.11 - Presupuesto gastos'!$C$14</f>
        <v>453.11521197007482</v>
      </c>
      <c r="E24" s="938">
        <f>'[1]3.11 - Presupuesto gastos'!$C$14</f>
        <v>453.11521197007482</v>
      </c>
      <c r="F24" s="938">
        <f>'[1]3.11 - Presupuesto gastos'!$C$14</f>
        <v>453.11521197007482</v>
      </c>
      <c r="G24" s="938">
        <f>'[1]3.11 - Presupuesto gastos'!$C$14</f>
        <v>453.11521197007482</v>
      </c>
      <c r="H24" s="938">
        <f>'[1]3.11 - Presupuesto gastos'!$C$14</f>
        <v>453.11521197007482</v>
      </c>
      <c r="I24" s="938">
        <f>'[1]3.11 - Presupuesto gastos'!$C$14</f>
        <v>453.11521197007482</v>
      </c>
      <c r="J24" s="938">
        <f>'[1]3.11 - Presupuesto gastos'!$C$14</f>
        <v>453.11521197007482</v>
      </c>
      <c r="K24" s="938">
        <f>'[1]3.11 - Presupuesto gastos'!$C$14</f>
        <v>453.11521197007482</v>
      </c>
      <c r="L24" s="938">
        <f>'[1]3.11 - Presupuesto gastos'!$C$14</f>
        <v>453.11521197007482</v>
      </c>
      <c r="M24" s="938">
        <f>'[1]3.11 - Presupuesto gastos'!$C$14</f>
        <v>453.11521197007482</v>
      </c>
      <c r="N24" s="938">
        <f>'[1]3.11 - Presupuesto gastos'!$C$14</f>
        <v>453.11521197007482</v>
      </c>
      <c r="O24" s="1126">
        <f>'[1]3.11 - Presupuesto gastos'!$C$14</f>
        <v>453.11521197007482</v>
      </c>
      <c r="P24" s="932">
        <v>5437.3825436408961</v>
      </c>
      <c r="Q24" s="931">
        <v>463.08374663341647</v>
      </c>
      <c r="R24" s="938">
        <v>463.08374663341647</v>
      </c>
      <c r="S24" s="938">
        <v>463.08374663341647</v>
      </c>
      <c r="T24" s="938">
        <v>463.08374663341647</v>
      </c>
      <c r="U24" s="938">
        <v>463.08374663341647</v>
      </c>
      <c r="V24" s="938">
        <v>463.08374663341647</v>
      </c>
      <c r="W24" s="938">
        <v>463.08374663341647</v>
      </c>
      <c r="X24" s="938">
        <v>463.08374663341647</v>
      </c>
      <c r="Y24" s="938">
        <v>463.08374663341647</v>
      </c>
      <c r="Z24" s="938">
        <v>463.08374663341647</v>
      </c>
      <c r="AA24" s="938">
        <v>463.08374663341647</v>
      </c>
      <c r="AB24" s="939">
        <v>463.08374663341647</v>
      </c>
      <c r="AC24" s="932">
        <v>5557.0049596009958</v>
      </c>
      <c r="AD24" s="933">
        <v>0</v>
      </c>
      <c r="AE24" s="969">
        <v>0</v>
      </c>
      <c r="AF24" s="969">
        <v>0</v>
      </c>
      <c r="AG24" s="969">
        <v>0</v>
      </c>
      <c r="AH24" s="969">
        <v>0</v>
      </c>
      <c r="AI24" s="969">
        <v>0</v>
      </c>
      <c r="AJ24" s="969">
        <v>0</v>
      </c>
      <c r="AK24" s="969">
        <v>0</v>
      </c>
      <c r="AL24" s="969">
        <v>0</v>
      </c>
      <c r="AM24" s="969">
        <v>0</v>
      </c>
      <c r="AN24" s="969">
        <v>0</v>
      </c>
      <c r="AO24" s="974">
        <v>0</v>
      </c>
      <c r="AP24" s="932">
        <v>0</v>
      </c>
      <c r="AQ24" s="931">
        <v>0</v>
      </c>
      <c r="AR24" s="938">
        <v>0</v>
      </c>
      <c r="AS24" s="938">
        <v>0</v>
      </c>
      <c r="AT24" s="938">
        <v>0</v>
      </c>
      <c r="AU24" s="938">
        <v>0</v>
      </c>
      <c r="AV24" s="938">
        <v>0</v>
      </c>
      <c r="AW24" s="938">
        <v>0</v>
      </c>
      <c r="AX24" s="938">
        <v>0</v>
      </c>
      <c r="AY24" s="938">
        <v>0</v>
      </c>
      <c r="AZ24" s="938">
        <v>0</v>
      </c>
      <c r="BA24" s="938">
        <v>0</v>
      </c>
      <c r="BB24" s="939">
        <v>0</v>
      </c>
      <c r="BC24" s="932">
        <v>0</v>
      </c>
      <c r="BD24" s="931">
        <v>0</v>
      </c>
      <c r="BE24" s="938">
        <v>0</v>
      </c>
      <c r="BF24" s="938">
        <v>0</v>
      </c>
      <c r="BG24" s="938">
        <v>0</v>
      </c>
      <c r="BH24" s="938">
        <v>0</v>
      </c>
      <c r="BI24" s="938">
        <v>0</v>
      </c>
      <c r="BJ24" s="938">
        <v>0</v>
      </c>
      <c r="BK24" s="938">
        <v>0</v>
      </c>
      <c r="BL24" s="938">
        <v>0</v>
      </c>
      <c r="BM24" s="938">
        <v>0</v>
      </c>
      <c r="BN24" s="938">
        <v>0</v>
      </c>
      <c r="BO24" s="939">
        <v>0</v>
      </c>
      <c r="BP24" s="932">
        <v>0</v>
      </c>
      <c r="BR24" s="153"/>
      <c r="BX24" s="135"/>
    </row>
    <row r="25" spans="2:83" ht="15" thickBot="1">
      <c r="B25" s="1728"/>
      <c r="C25" s="274" t="s">
        <v>1031</v>
      </c>
      <c r="D25" s="961">
        <f>'[1]3.11 - Presupuesto gastos'!$C$15</f>
        <v>754.88279301745638</v>
      </c>
      <c r="E25" s="929">
        <f>'[1]3.11 - Presupuesto gastos'!$C$15</f>
        <v>754.88279301745638</v>
      </c>
      <c r="F25" s="929">
        <f>'[1]3.11 - Presupuesto gastos'!$C$15</f>
        <v>754.88279301745638</v>
      </c>
      <c r="G25" s="929">
        <f>'[1]3.11 - Presupuesto gastos'!$C$15</f>
        <v>754.88279301745638</v>
      </c>
      <c r="H25" s="929">
        <f>'[1]3.11 - Presupuesto gastos'!$C$15</f>
        <v>754.88279301745638</v>
      </c>
      <c r="I25" s="929">
        <f>'[1]3.11 - Presupuesto gastos'!$C$15</f>
        <v>754.88279301745638</v>
      </c>
      <c r="J25" s="929">
        <f>'[1]3.11 - Presupuesto gastos'!$C$15</f>
        <v>754.88279301745638</v>
      </c>
      <c r="K25" s="929">
        <f>'[1]3.11 - Presupuesto gastos'!$C$15</f>
        <v>754.88279301745638</v>
      </c>
      <c r="L25" s="929">
        <f>'[1]3.11 - Presupuesto gastos'!$C$15</f>
        <v>754.88279301745638</v>
      </c>
      <c r="M25" s="929">
        <f>'[1]3.11 - Presupuesto gastos'!$C$15</f>
        <v>754.88279301745638</v>
      </c>
      <c r="N25" s="929">
        <f>'[1]3.11 - Presupuesto gastos'!$C$15</f>
        <v>754.88279301745638</v>
      </c>
      <c r="O25" s="1127">
        <f>'[1]3.11 - Presupuesto gastos'!$C$15</f>
        <v>754.88279301745638</v>
      </c>
      <c r="P25" s="943">
        <v>9058.5935162094775</v>
      </c>
      <c r="Q25" s="941">
        <v>771.49021446384052</v>
      </c>
      <c r="R25" s="929">
        <v>771.49021446384052</v>
      </c>
      <c r="S25" s="929">
        <v>771.49021446384052</v>
      </c>
      <c r="T25" s="929">
        <v>771.49021446384052</v>
      </c>
      <c r="U25" s="929">
        <v>771.49021446384052</v>
      </c>
      <c r="V25" s="929">
        <v>771.49021446384052</v>
      </c>
      <c r="W25" s="929">
        <v>771.49021446384052</v>
      </c>
      <c r="X25" s="929">
        <v>771.49021446384052</v>
      </c>
      <c r="Y25" s="929">
        <v>771.49021446384052</v>
      </c>
      <c r="Z25" s="929">
        <v>771.49021446384052</v>
      </c>
      <c r="AA25" s="929">
        <v>771.49021446384052</v>
      </c>
      <c r="AB25" s="942">
        <v>771.49021446384052</v>
      </c>
      <c r="AC25" s="943">
        <v>9257.8825735660866</v>
      </c>
      <c r="AD25" s="921">
        <v>0</v>
      </c>
      <c r="AE25" s="968">
        <v>0</v>
      </c>
      <c r="AF25" s="968">
        <v>0</v>
      </c>
      <c r="AG25" s="968">
        <v>0</v>
      </c>
      <c r="AH25" s="968">
        <v>0</v>
      </c>
      <c r="AI25" s="968">
        <v>0</v>
      </c>
      <c r="AJ25" s="968">
        <v>0</v>
      </c>
      <c r="AK25" s="968">
        <v>0</v>
      </c>
      <c r="AL25" s="968">
        <v>0</v>
      </c>
      <c r="AM25" s="968">
        <v>0</v>
      </c>
      <c r="AN25" s="968">
        <v>0</v>
      </c>
      <c r="AO25" s="975">
        <v>0</v>
      </c>
      <c r="AP25" s="943">
        <v>0</v>
      </c>
      <c r="AQ25" s="941">
        <v>0</v>
      </c>
      <c r="AR25" s="929">
        <v>0</v>
      </c>
      <c r="AS25" s="929">
        <v>0</v>
      </c>
      <c r="AT25" s="929">
        <v>0</v>
      </c>
      <c r="AU25" s="929">
        <v>0</v>
      </c>
      <c r="AV25" s="929">
        <v>0</v>
      </c>
      <c r="AW25" s="929">
        <v>0</v>
      </c>
      <c r="AX25" s="929">
        <v>0</v>
      </c>
      <c r="AY25" s="929">
        <v>0</v>
      </c>
      <c r="AZ25" s="929">
        <v>0</v>
      </c>
      <c r="BA25" s="929">
        <v>0</v>
      </c>
      <c r="BB25" s="942">
        <v>0</v>
      </c>
      <c r="BC25" s="943">
        <v>0</v>
      </c>
      <c r="BD25" s="941">
        <v>0</v>
      </c>
      <c r="BE25" s="929">
        <v>0</v>
      </c>
      <c r="BF25" s="929">
        <v>0</v>
      </c>
      <c r="BG25" s="929">
        <v>0</v>
      </c>
      <c r="BH25" s="929">
        <v>0</v>
      </c>
      <c r="BI25" s="929">
        <v>0</v>
      </c>
      <c r="BJ25" s="929">
        <v>0</v>
      </c>
      <c r="BK25" s="929">
        <v>0</v>
      </c>
      <c r="BL25" s="929">
        <v>0</v>
      </c>
      <c r="BM25" s="929">
        <v>0</v>
      </c>
      <c r="BN25" s="929">
        <v>0</v>
      </c>
      <c r="BO25" s="942">
        <v>0</v>
      </c>
      <c r="BP25" s="943">
        <v>0</v>
      </c>
      <c r="BR25" s="322" t="s">
        <v>1185</v>
      </c>
      <c r="BS25" s="323">
        <v>565000</v>
      </c>
      <c r="BT25" s="323">
        <v>-111321.2589677202</v>
      </c>
      <c r="BU25" s="323">
        <v>-99474.521621463588</v>
      </c>
      <c r="BV25" s="323">
        <v>-331516.39964571781</v>
      </c>
      <c r="BW25" s="323">
        <v>148547.86979568936</v>
      </c>
      <c r="BX25" s="324">
        <v>707789.43308223644</v>
      </c>
    </row>
    <row r="26" spans="2:83">
      <c r="B26" s="1728"/>
      <c r="C26" s="274" t="s">
        <v>1156</v>
      </c>
      <c r="D26" s="961">
        <f>'[1]3.11 - Presupuesto gastos'!$C$16</f>
        <v>263.9920199501247</v>
      </c>
      <c r="E26" s="929">
        <f>'[1]3.11 - Presupuesto gastos'!$C$16</f>
        <v>263.9920199501247</v>
      </c>
      <c r="F26" s="929">
        <f>'[1]3.11 - Presupuesto gastos'!$C$16</f>
        <v>263.9920199501247</v>
      </c>
      <c r="G26" s="929">
        <f>'[1]3.11 - Presupuesto gastos'!$C$16</f>
        <v>263.9920199501247</v>
      </c>
      <c r="H26" s="929">
        <f>'[1]3.11 - Presupuesto gastos'!$C$16</f>
        <v>263.9920199501247</v>
      </c>
      <c r="I26" s="929">
        <f>'[1]3.11 - Presupuesto gastos'!$C$16</f>
        <v>263.9920199501247</v>
      </c>
      <c r="J26" s="929">
        <f>'[1]3.11 - Presupuesto gastos'!$C$16</f>
        <v>263.9920199501247</v>
      </c>
      <c r="K26" s="929">
        <f>'[1]3.11 - Presupuesto gastos'!$C$16</f>
        <v>263.9920199501247</v>
      </c>
      <c r="L26" s="929">
        <f>'[1]3.11 - Presupuesto gastos'!$C$16</f>
        <v>263.9920199501247</v>
      </c>
      <c r="M26" s="929">
        <f>'[1]3.11 - Presupuesto gastos'!$C$16</f>
        <v>263.9920199501247</v>
      </c>
      <c r="N26" s="929">
        <f>'[1]3.11 - Presupuesto gastos'!$C$16</f>
        <v>263.9920199501247</v>
      </c>
      <c r="O26" s="1127">
        <f>'[1]3.11 - Presupuesto gastos'!$C$16</f>
        <v>263.9920199501247</v>
      </c>
      <c r="P26" s="943">
        <v>3167.9042394014973</v>
      </c>
      <c r="Q26" s="941">
        <v>316.44993915211973</v>
      </c>
      <c r="R26" s="929">
        <v>316.44993915211973</v>
      </c>
      <c r="S26" s="929">
        <v>316.44993915211973</v>
      </c>
      <c r="T26" s="929">
        <v>316.44993915211973</v>
      </c>
      <c r="U26" s="929">
        <v>316.44993915211973</v>
      </c>
      <c r="V26" s="929">
        <v>316.44993915211973</v>
      </c>
      <c r="W26" s="929">
        <v>316.44993915211973</v>
      </c>
      <c r="X26" s="929">
        <v>316.44993915211973</v>
      </c>
      <c r="Y26" s="929">
        <v>316.44993915211973</v>
      </c>
      <c r="Z26" s="929">
        <v>316.44993915211973</v>
      </c>
      <c r="AA26" s="929">
        <v>316.44993915211973</v>
      </c>
      <c r="AB26" s="942">
        <v>316.44993915211973</v>
      </c>
      <c r="AC26" s="943">
        <v>3797.3992698254374</v>
      </c>
      <c r="AD26" s="921">
        <v>442.60282993316707</v>
      </c>
      <c r="AE26" s="968">
        <v>442.60282993316707</v>
      </c>
      <c r="AF26" s="968">
        <v>442.60282993316707</v>
      </c>
      <c r="AG26" s="968">
        <v>442.60282993316707</v>
      </c>
      <c r="AH26" s="968">
        <v>442.60282993316707</v>
      </c>
      <c r="AI26" s="968">
        <v>442.60282993316707</v>
      </c>
      <c r="AJ26" s="968">
        <v>442.60282993316707</v>
      </c>
      <c r="AK26" s="968">
        <v>442.60282993316707</v>
      </c>
      <c r="AL26" s="968">
        <v>442.60282993316707</v>
      </c>
      <c r="AM26" s="968">
        <v>442.60282993316707</v>
      </c>
      <c r="AN26" s="968">
        <v>442.60282993316707</v>
      </c>
      <c r="AO26" s="975">
        <v>442.60282993316707</v>
      </c>
      <c r="AP26" s="943">
        <v>5311.2339591980053</v>
      </c>
      <c r="AQ26" s="941">
        <v>452.34009219169678</v>
      </c>
      <c r="AR26" s="929">
        <v>452.34009219169678</v>
      </c>
      <c r="AS26" s="929">
        <v>452.34009219169678</v>
      </c>
      <c r="AT26" s="929">
        <v>452.34009219169678</v>
      </c>
      <c r="AU26" s="929">
        <v>452.34009219169678</v>
      </c>
      <c r="AV26" s="929">
        <v>452.34009219169678</v>
      </c>
      <c r="AW26" s="929">
        <v>452.34009219169678</v>
      </c>
      <c r="AX26" s="929">
        <v>452.34009219169678</v>
      </c>
      <c r="AY26" s="929">
        <v>452.34009219169678</v>
      </c>
      <c r="AZ26" s="929">
        <v>452.34009219169678</v>
      </c>
      <c r="BA26" s="929">
        <v>452.34009219169678</v>
      </c>
      <c r="BB26" s="942">
        <v>452.34009219169678</v>
      </c>
      <c r="BC26" s="943">
        <v>5428.0811063003603</v>
      </c>
      <c r="BD26" s="941">
        <v>574.33535001175221</v>
      </c>
      <c r="BE26" s="929">
        <v>574.33535001175221</v>
      </c>
      <c r="BF26" s="929">
        <v>574.33535001175221</v>
      </c>
      <c r="BG26" s="929">
        <v>574.33535001175221</v>
      </c>
      <c r="BH26" s="929">
        <v>574.33535001175221</v>
      </c>
      <c r="BI26" s="929">
        <v>574.33535001175221</v>
      </c>
      <c r="BJ26" s="929">
        <v>574.33535001175221</v>
      </c>
      <c r="BK26" s="929">
        <v>574.33535001175221</v>
      </c>
      <c r="BL26" s="929">
        <v>574.33535001175221</v>
      </c>
      <c r="BM26" s="929">
        <v>574.33535001175221</v>
      </c>
      <c r="BN26" s="929">
        <v>574.33535001175221</v>
      </c>
      <c r="BO26" s="942">
        <v>574.33535001175221</v>
      </c>
      <c r="BP26" s="943">
        <v>6892.0242001410252</v>
      </c>
    </row>
    <row r="27" spans="2:83">
      <c r="B27" s="1728"/>
      <c r="C27" s="274" t="s">
        <v>966</v>
      </c>
      <c r="D27" s="961">
        <f>'[1]3.11 - Presupuesto gastos'!$C$17</f>
        <v>5.4269326683291759</v>
      </c>
      <c r="E27" s="929">
        <f>'[1]3.11 - Presupuesto gastos'!$C$17</f>
        <v>5.4269326683291759</v>
      </c>
      <c r="F27" s="929">
        <f>'[1]3.11 - Presupuesto gastos'!$C$17</f>
        <v>5.4269326683291759</v>
      </c>
      <c r="G27" s="929">
        <f>'[1]3.11 - Presupuesto gastos'!$C$17</f>
        <v>5.4269326683291759</v>
      </c>
      <c r="H27" s="929">
        <f>'[1]3.11 - Presupuesto gastos'!$C$17</f>
        <v>5.4269326683291759</v>
      </c>
      <c r="I27" s="929">
        <f>'[1]3.11 - Presupuesto gastos'!$C$17</f>
        <v>5.4269326683291759</v>
      </c>
      <c r="J27" s="929">
        <f>'[1]3.11 - Presupuesto gastos'!$C$17</f>
        <v>5.4269326683291759</v>
      </c>
      <c r="K27" s="929">
        <f>'[1]3.11 - Presupuesto gastos'!$C$17</f>
        <v>5.4269326683291759</v>
      </c>
      <c r="L27" s="929">
        <f>'[1]3.11 - Presupuesto gastos'!$C$17</f>
        <v>5.4269326683291759</v>
      </c>
      <c r="M27" s="929">
        <f>'[1]3.11 - Presupuesto gastos'!$C$17</f>
        <v>5.4269326683291759</v>
      </c>
      <c r="N27" s="929">
        <f>'[1]3.11 - Presupuesto gastos'!$C$17</f>
        <v>5.4269326683291759</v>
      </c>
      <c r="O27" s="1127">
        <f>'[1]3.11 - Presupuesto gastos'!$C$17</f>
        <v>5.4269326683291759</v>
      </c>
      <c r="P27" s="943">
        <v>65.123192019950096</v>
      </c>
      <c r="Q27" s="941">
        <v>10.03884858852868</v>
      </c>
      <c r="R27" s="929">
        <v>10.03884858852868</v>
      </c>
      <c r="S27" s="929">
        <v>10.03884858852868</v>
      </c>
      <c r="T27" s="929">
        <v>10.03884858852868</v>
      </c>
      <c r="U27" s="929">
        <v>10.03884858852868</v>
      </c>
      <c r="V27" s="929">
        <v>10.03884858852868</v>
      </c>
      <c r="W27" s="929">
        <v>10.03884858852868</v>
      </c>
      <c r="X27" s="929">
        <v>10.03884858852868</v>
      </c>
      <c r="Y27" s="929">
        <v>10.03884858852868</v>
      </c>
      <c r="Z27" s="929">
        <v>10.03884858852868</v>
      </c>
      <c r="AA27" s="929">
        <v>10.03884858852868</v>
      </c>
      <c r="AB27" s="942">
        <v>10.03884858852868</v>
      </c>
      <c r="AC27" s="943">
        <v>120.46618306234416</v>
      </c>
      <c r="AD27" s="921">
        <v>17.288450240498751</v>
      </c>
      <c r="AE27" s="968">
        <v>17.288450240498751</v>
      </c>
      <c r="AF27" s="968">
        <v>17.288450240498751</v>
      </c>
      <c r="AG27" s="968">
        <v>17.288450240498751</v>
      </c>
      <c r="AH27" s="968">
        <v>17.288450240498751</v>
      </c>
      <c r="AI27" s="968">
        <v>17.288450240498751</v>
      </c>
      <c r="AJ27" s="968">
        <v>17.288450240498751</v>
      </c>
      <c r="AK27" s="968">
        <v>17.288450240498751</v>
      </c>
      <c r="AL27" s="968">
        <v>17.288450240498751</v>
      </c>
      <c r="AM27" s="968">
        <v>17.288450240498751</v>
      </c>
      <c r="AN27" s="968">
        <v>17.288450240498751</v>
      </c>
      <c r="AO27" s="975">
        <v>17.288450240498751</v>
      </c>
      <c r="AP27" s="943">
        <v>207.461402885985</v>
      </c>
      <c r="AQ27" s="941">
        <v>26.6480204166009</v>
      </c>
      <c r="AR27" s="929">
        <v>26.6480204166009</v>
      </c>
      <c r="AS27" s="929">
        <v>26.6480204166009</v>
      </c>
      <c r="AT27" s="929">
        <v>26.6480204166009</v>
      </c>
      <c r="AU27" s="929">
        <v>26.6480204166009</v>
      </c>
      <c r="AV27" s="929">
        <v>26.6480204166009</v>
      </c>
      <c r="AW27" s="929">
        <v>26.6480204166009</v>
      </c>
      <c r="AX27" s="929">
        <v>26.6480204166009</v>
      </c>
      <c r="AY27" s="929">
        <v>26.6480204166009</v>
      </c>
      <c r="AZ27" s="929">
        <v>26.6480204166009</v>
      </c>
      <c r="BA27" s="929">
        <v>26.6480204166009</v>
      </c>
      <c r="BB27" s="942">
        <v>26.6480204166009</v>
      </c>
      <c r="BC27" s="943">
        <v>319.7762449992108</v>
      </c>
      <c r="BD27" s="941">
        <v>45.587811275304155</v>
      </c>
      <c r="BE27" s="929">
        <v>45.587811275304155</v>
      </c>
      <c r="BF27" s="929">
        <v>45.587811275304155</v>
      </c>
      <c r="BG27" s="929">
        <v>45.587811275304155</v>
      </c>
      <c r="BH27" s="929">
        <v>45.587811275304155</v>
      </c>
      <c r="BI27" s="929">
        <v>45.587811275304155</v>
      </c>
      <c r="BJ27" s="929">
        <v>45.587811275304155</v>
      </c>
      <c r="BK27" s="929">
        <v>45.587811275304155</v>
      </c>
      <c r="BL27" s="929">
        <v>45.587811275304155</v>
      </c>
      <c r="BM27" s="929">
        <v>45.587811275304155</v>
      </c>
      <c r="BN27" s="929">
        <v>45.587811275304155</v>
      </c>
      <c r="BO27" s="942">
        <v>45.587811275304155</v>
      </c>
      <c r="BP27" s="943">
        <v>547.05373530364989</v>
      </c>
    </row>
    <row r="28" spans="2:83">
      <c r="B28" s="1728"/>
      <c r="C28" s="274" t="s">
        <v>1157</v>
      </c>
      <c r="D28" s="961">
        <f>'[1]3.11 - Presupuesto gastos'!$C$18</f>
        <v>54.862842892768079</v>
      </c>
      <c r="E28" s="929">
        <f>'[1]3.11 - Presupuesto gastos'!$C$18</f>
        <v>54.862842892768079</v>
      </c>
      <c r="F28" s="929">
        <f>'[1]3.11 - Presupuesto gastos'!$C$18</f>
        <v>54.862842892768079</v>
      </c>
      <c r="G28" s="929">
        <f>'[1]3.11 - Presupuesto gastos'!$C$18</f>
        <v>54.862842892768079</v>
      </c>
      <c r="H28" s="929">
        <f>'[1]3.11 - Presupuesto gastos'!$C$18</f>
        <v>54.862842892768079</v>
      </c>
      <c r="I28" s="929">
        <f>'[1]3.11 - Presupuesto gastos'!$C$18</f>
        <v>54.862842892768079</v>
      </c>
      <c r="J28" s="929">
        <f>'[1]3.11 - Presupuesto gastos'!$C$18</f>
        <v>54.862842892768079</v>
      </c>
      <c r="K28" s="929">
        <f>'[1]3.11 - Presupuesto gastos'!$C$18</f>
        <v>54.862842892768079</v>
      </c>
      <c r="L28" s="929">
        <f>'[1]3.11 - Presupuesto gastos'!$C$18</f>
        <v>54.862842892768079</v>
      </c>
      <c r="M28" s="929">
        <f>'[1]3.11 - Presupuesto gastos'!$C$18</f>
        <v>54.862842892768079</v>
      </c>
      <c r="N28" s="929">
        <f>'[1]3.11 - Presupuesto gastos'!$C$18</f>
        <v>54.862842892768079</v>
      </c>
      <c r="O28" s="1127">
        <f>'[1]3.11 - Presupuesto gastos'!$C$18</f>
        <v>54.862842892768079</v>
      </c>
      <c r="P28" s="943">
        <v>658.35411471321697</v>
      </c>
      <c r="Q28" s="941">
        <v>56.069825436408976</v>
      </c>
      <c r="R28" s="929">
        <v>56.069825436408976</v>
      </c>
      <c r="S28" s="929">
        <v>56.069825436408976</v>
      </c>
      <c r="T28" s="929">
        <v>56.069825436408976</v>
      </c>
      <c r="U28" s="929">
        <v>56.069825436408976</v>
      </c>
      <c r="V28" s="929">
        <v>56.069825436408976</v>
      </c>
      <c r="W28" s="929">
        <v>56.069825436408976</v>
      </c>
      <c r="X28" s="929">
        <v>56.069825436408976</v>
      </c>
      <c r="Y28" s="929">
        <v>56.069825436408976</v>
      </c>
      <c r="Z28" s="929">
        <v>56.069825436408976</v>
      </c>
      <c r="AA28" s="929">
        <v>56.069825436408976</v>
      </c>
      <c r="AB28" s="942">
        <v>56.069825436408976</v>
      </c>
      <c r="AC28" s="943">
        <v>672.83790523690777</v>
      </c>
      <c r="AD28" s="921">
        <v>57.303361596009978</v>
      </c>
      <c r="AE28" s="968">
        <v>57.303361596009978</v>
      </c>
      <c r="AF28" s="968">
        <v>57.303361596009978</v>
      </c>
      <c r="AG28" s="968">
        <v>57.303361596009978</v>
      </c>
      <c r="AH28" s="968">
        <v>57.303361596009978</v>
      </c>
      <c r="AI28" s="968">
        <v>57.303361596009978</v>
      </c>
      <c r="AJ28" s="968">
        <v>57.303361596009978</v>
      </c>
      <c r="AK28" s="968">
        <v>57.303361596009978</v>
      </c>
      <c r="AL28" s="968">
        <v>57.303361596009978</v>
      </c>
      <c r="AM28" s="968">
        <v>57.303361596009978</v>
      </c>
      <c r="AN28" s="968">
        <v>57.303361596009978</v>
      </c>
      <c r="AO28" s="975">
        <v>57.303361596009978</v>
      </c>
      <c r="AP28" s="943">
        <v>687.64033915211951</v>
      </c>
      <c r="AQ28" s="941">
        <v>58.564035551122203</v>
      </c>
      <c r="AR28" s="929">
        <v>58.564035551122203</v>
      </c>
      <c r="AS28" s="929">
        <v>58.564035551122203</v>
      </c>
      <c r="AT28" s="929">
        <v>58.564035551122203</v>
      </c>
      <c r="AU28" s="929">
        <v>58.564035551122203</v>
      </c>
      <c r="AV28" s="929">
        <v>58.564035551122203</v>
      </c>
      <c r="AW28" s="929">
        <v>58.564035551122203</v>
      </c>
      <c r="AX28" s="929">
        <v>58.564035551122203</v>
      </c>
      <c r="AY28" s="929">
        <v>58.564035551122203</v>
      </c>
      <c r="AZ28" s="929">
        <v>58.564035551122203</v>
      </c>
      <c r="BA28" s="929">
        <v>58.564035551122203</v>
      </c>
      <c r="BB28" s="942">
        <v>58.564035551122203</v>
      </c>
      <c r="BC28" s="943">
        <v>702.7684266134662</v>
      </c>
      <c r="BD28" s="941">
        <v>59.852444333246893</v>
      </c>
      <c r="BE28" s="929">
        <v>59.852444333246893</v>
      </c>
      <c r="BF28" s="929">
        <v>59.852444333246893</v>
      </c>
      <c r="BG28" s="929">
        <v>59.852444333246893</v>
      </c>
      <c r="BH28" s="929">
        <v>59.852444333246893</v>
      </c>
      <c r="BI28" s="929">
        <v>59.852444333246893</v>
      </c>
      <c r="BJ28" s="929">
        <v>59.852444333246893</v>
      </c>
      <c r="BK28" s="929">
        <v>59.852444333246893</v>
      </c>
      <c r="BL28" s="929">
        <v>59.852444333246893</v>
      </c>
      <c r="BM28" s="929">
        <v>59.852444333246893</v>
      </c>
      <c r="BN28" s="929">
        <v>59.852444333246893</v>
      </c>
      <c r="BO28" s="942">
        <v>59.852444333246893</v>
      </c>
      <c r="BP28" s="943">
        <v>718.22933199896295</v>
      </c>
    </row>
    <row r="29" spans="2:83" ht="15" thickBot="1">
      <c r="B29" s="1729"/>
      <c r="C29" s="462" t="s">
        <v>1158</v>
      </c>
      <c r="D29" s="965">
        <f>'[1]3.11 - Presupuesto gastos'!$C$19</f>
        <v>200</v>
      </c>
      <c r="E29" s="947">
        <f>'[1]3.11 - Presupuesto gastos'!$C$19</f>
        <v>200</v>
      </c>
      <c r="F29" s="947">
        <f>'[1]3.11 - Presupuesto gastos'!$C$19</f>
        <v>200</v>
      </c>
      <c r="G29" s="947">
        <f>'[1]3.11 - Presupuesto gastos'!$C$19</f>
        <v>200</v>
      </c>
      <c r="H29" s="947">
        <f>'[1]3.11 - Presupuesto gastos'!$C$19</f>
        <v>200</v>
      </c>
      <c r="I29" s="947">
        <f>'[1]3.11 - Presupuesto gastos'!$C$19</f>
        <v>200</v>
      </c>
      <c r="J29" s="947">
        <f>'[1]3.11 - Presupuesto gastos'!$C$19</f>
        <v>200</v>
      </c>
      <c r="K29" s="947">
        <f>'[1]3.11 - Presupuesto gastos'!$C$19</f>
        <v>200</v>
      </c>
      <c r="L29" s="947">
        <f>'[1]3.11 - Presupuesto gastos'!$C$19</f>
        <v>200</v>
      </c>
      <c r="M29" s="947">
        <f>'[1]3.11 - Presupuesto gastos'!$C$19</f>
        <v>200</v>
      </c>
      <c r="N29" s="947">
        <f>'[1]3.11 - Presupuesto gastos'!$C$19</f>
        <v>200</v>
      </c>
      <c r="O29" s="1130">
        <f>'[1]3.11 - Presupuesto gastos'!$C$19</f>
        <v>200</v>
      </c>
      <c r="P29" s="920">
        <v>2400</v>
      </c>
      <c r="Q29" s="946">
        <v>300</v>
      </c>
      <c r="R29" s="947">
        <v>300</v>
      </c>
      <c r="S29" s="947">
        <v>300</v>
      </c>
      <c r="T29" s="947">
        <v>300</v>
      </c>
      <c r="U29" s="947">
        <v>300</v>
      </c>
      <c r="V29" s="947">
        <v>300</v>
      </c>
      <c r="W29" s="947">
        <v>300</v>
      </c>
      <c r="X29" s="947">
        <v>300</v>
      </c>
      <c r="Y29" s="947">
        <v>300</v>
      </c>
      <c r="Z29" s="947">
        <v>300</v>
      </c>
      <c r="AA29" s="947">
        <v>300</v>
      </c>
      <c r="AB29" s="948">
        <v>300</v>
      </c>
      <c r="AC29" s="920">
        <v>3600</v>
      </c>
      <c r="AD29" s="950">
        <v>450</v>
      </c>
      <c r="AE29" s="1262">
        <v>450</v>
      </c>
      <c r="AF29" s="1262">
        <v>450</v>
      </c>
      <c r="AG29" s="1262">
        <v>450</v>
      </c>
      <c r="AH29" s="1262">
        <v>450</v>
      </c>
      <c r="AI29" s="1262">
        <v>450</v>
      </c>
      <c r="AJ29" s="1262">
        <v>450</v>
      </c>
      <c r="AK29" s="1262">
        <v>450</v>
      </c>
      <c r="AL29" s="1262">
        <v>450</v>
      </c>
      <c r="AM29" s="1262">
        <v>450</v>
      </c>
      <c r="AN29" s="1262">
        <v>450</v>
      </c>
      <c r="AO29" s="1263">
        <v>450</v>
      </c>
      <c r="AP29" s="920">
        <v>5400</v>
      </c>
      <c r="AQ29" s="946">
        <v>459.90000000000003</v>
      </c>
      <c r="AR29" s="947">
        <v>459.90000000000003</v>
      </c>
      <c r="AS29" s="947">
        <v>459.90000000000003</v>
      </c>
      <c r="AT29" s="947">
        <v>459.90000000000003</v>
      </c>
      <c r="AU29" s="947">
        <v>459.90000000000003</v>
      </c>
      <c r="AV29" s="947">
        <v>459.90000000000003</v>
      </c>
      <c r="AW29" s="947">
        <v>459.90000000000003</v>
      </c>
      <c r="AX29" s="947">
        <v>459.90000000000003</v>
      </c>
      <c r="AY29" s="947">
        <v>459.90000000000003</v>
      </c>
      <c r="AZ29" s="947">
        <v>459.90000000000003</v>
      </c>
      <c r="BA29" s="947">
        <v>459.90000000000003</v>
      </c>
      <c r="BB29" s="948">
        <v>459.90000000000003</v>
      </c>
      <c r="BC29" s="920">
        <v>5518.7999999999993</v>
      </c>
      <c r="BD29" s="946">
        <v>551.88</v>
      </c>
      <c r="BE29" s="947">
        <v>551.88</v>
      </c>
      <c r="BF29" s="947">
        <v>551.88</v>
      </c>
      <c r="BG29" s="947">
        <v>551.88</v>
      </c>
      <c r="BH29" s="947">
        <v>551.88</v>
      </c>
      <c r="BI29" s="947">
        <v>551.88</v>
      </c>
      <c r="BJ29" s="947">
        <v>551.88</v>
      </c>
      <c r="BK29" s="947">
        <v>551.88</v>
      </c>
      <c r="BL29" s="947">
        <v>551.88</v>
      </c>
      <c r="BM29" s="947">
        <v>551.88</v>
      </c>
      <c r="BN29" s="947">
        <v>551.88</v>
      </c>
      <c r="BO29" s="948">
        <v>551.88</v>
      </c>
      <c r="BP29" s="920">
        <v>6622.56</v>
      </c>
    </row>
    <row r="30" spans="2:83">
      <c r="B30" s="1738" t="s">
        <v>1159</v>
      </c>
      <c r="C30" s="313" t="s">
        <v>1036</v>
      </c>
      <c r="D30" s="931">
        <f>'[1]3.11 - Presupuesto gastos'!$C$20</f>
        <v>50</v>
      </c>
      <c r="E30" s="938">
        <f>'[1]3.11 - Presupuesto gastos'!$C$20</f>
        <v>50</v>
      </c>
      <c r="F30" s="938">
        <f>'[1]3.11 - Presupuesto gastos'!$C$20</f>
        <v>50</v>
      </c>
      <c r="G30" s="938">
        <f>'[1]3.11 - Presupuesto gastos'!$C$20</f>
        <v>50</v>
      </c>
      <c r="H30" s="938">
        <f>'[1]3.11 - Presupuesto gastos'!$C$20</f>
        <v>50</v>
      </c>
      <c r="I30" s="938">
        <f>'[1]3.11 - Presupuesto gastos'!$C$20</f>
        <v>50</v>
      </c>
      <c r="J30" s="938">
        <f>'[1]3.11 - Presupuesto gastos'!$C$20</f>
        <v>50</v>
      </c>
      <c r="K30" s="938">
        <f>'[1]3.11 - Presupuesto gastos'!$C$20</f>
        <v>50</v>
      </c>
      <c r="L30" s="938">
        <f>'[1]3.11 - Presupuesto gastos'!$C$20</f>
        <v>50</v>
      </c>
      <c r="M30" s="938">
        <f>'[1]3.11 - Presupuesto gastos'!$C$20</f>
        <v>50</v>
      </c>
      <c r="N30" s="938">
        <f>'[1]3.11 - Presupuesto gastos'!$C$20</f>
        <v>50</v>
      </c>
      <c r="O30" s="939">
        <f>'[1]3.11 - Presupuesto gastos'!$C$20</f>
        <v>50</v>
      </c>
      <c r="P30" s="932">
        <v>600</v>
      </c>
      <c r="Q30" s="931">
        <v>60</v>
      </c>
      <c r="R30" s="938">
        <v>60</v>
      </c>
      <c r="S30" s="938">
        <v>60</v>
      </c>
      <c r="T30" s="938">
        <v>60</v>
      </c>
      <c r="U30" s="938">
        <v>60</v>
      </c>
      <c r="V30" s="938">
        <v>60</v>
      </c>
      <c r="W30" s="938">
        <v>60</v>
      </c>
      <c r="X30" s="938">
        <v>60</v>
      </c>
      <c r="Y30" s="938">
        <v>60</v>
      </c>
      <c r="Z30" s="938">
        <v>60</v>
      </c>
      <c r="AA30" s="938">
        <v>60</v>
      </c>
      <c r="AB30" s="939">
        <v>60</v>
      </c>
      <c r="AC30" s="932">
        <v>720</v>
      </c>
      <c r="AD30" s="933">
        <v>84</v>
      </c>
      <c r="AE30" s="969">
        <v>84</v>
      </c>
      <c r="AF30" s="969">
        <v>84</v>
      </c>
      <c r="AG30" s="969">
        <v>84</v>
      </c>
      <c r="AH30" s="969">
        <v>84</v>
      </c>
      <c r="AI30" s="969">
        <v>84</v>
      </c>
      <c r="AJ30" s="969">
        <v>84</v>
      </c>
      <c r="AK30" s="969">
        <v>84</v>
      </c>
      <c r="AL30" s="969">
        <v>84</v>
      </c>
      <c r="AM30" s="969">
        <v>84</v>
      </c>
      <c r="AN30" s="969">
        <v>84</v>
      </c>
      <c r="AO30" s="974">
        <v>84</v>
      </c>
      <c r="AP30" s="932">
        <v>1008</v>
      </c>
      <c r="AQ30" s="931">
        <v>92</v>
      </c>
      <c r="AR30" s="938">
        <v>92</v>
      </c>
      <c r="AS30" s="938">
        <v>92</v>
      </c>
      <c r="AT30" s="938">
        <v>92</v>
      </c>
      <c r="AU30" s="938">
        <v>92</v>
      </c>
      <c r="AV30" s="938">
        <v>92</v>
      </c>
      <c r="AW30" s="938">
        <v>92</v>
      </c>
      <c r="AX30" s="938">
        <v>92</v>
      </c>
      <c r="AY30" s="938">
        <v>92</v>
      </c>
      <c r="AZ30" s="938">
        <v>92</v>
      </c>
      <c r="BA30" s="938">
        <v>92</v>
      </c>
      <c r="BB30" s="939">
        <v>92</v>
      </c>
      <c r="BC30" s="932">
        <v>1104</v>
      </c>
      <c r="BD30" s="931">
        <v>104</v>
      </c>
      <c r="BE30" s="938">
        <v>104</v>
      </c>
      <c r="BF30" s="938">
        <v>104</v>
      </c>
      <c r="BG30" s="938">
        <v>104</v>
      </c>
      <c r="BH30" s="938">
        <v>104</v>
      </c>
      <c r="BI30" s="938">
        <v>104</v>
      </c>
      <c r="BJ30" s="938">
        <v>104</v>
      </c>
      <c r="BK30" s="938">
        <v>104</v>
      </c>
      <c r="BL30" s="938">
        <v>104</v>
      </c>
      <c r="BM30" s="938">
        <v>104</v>
      </c>
      <c r="BN30" s="938">
        <v>104</v>
      </c>
      <c r="BO30" s="939">
        <v>104</v>
      </c>
      <c r="BP30" s="932">
        <v>1248</v>
      </c>
    </row>
    <row r="31" spans="2:83">
      <c r="B31" s="1738"/>
      <c r="C31" s="274" t="s">
        <v>218</v>
      </c>
      <c r="D31" s="941">
        <f>'[1]3.11 - Presupuesto gastos'!$C$21</f>
        <v>847.88029925187038</v>
      </c>
      <c r="E31" s="929">
        <f>'[1]3.11 - Presupuesto gastos'!$C$21</f>
        <v>847.88029925187038</v>
      </c>
      <c r="F31" s="929">
        <f>'[1]3.11 - Presupuesto gastos'!$C$21</f>
        <v>847.88029925187038</v>
      </c>
      <c r="G31" s="929">
        <f>'[1]3.11 - Presupuesto gastos'!$C$21</f>
        <v>847.88029925187038</v>
      </c>
      <c r="H31" s="929">
        <f>'[1]3.11 - Presupuesto gastos'!$C$21</f>
        <v>847.88029925187038</v>
      </c>
      <c r="I31" s="929">
        <f>'[1]3.11 - Presupuesto gastos'!$C$21</f>
        <v>847.88029925187038</v>
      </c>
      <c r="J31" s="929">
        <f>'[1]3.11 - Presupuesto gastos'!$C$21</f>
        <v>847.88029925187038</v>
      </c>
      <c r="K31" s="929">
        <f>'[1]3.11 - Presupuesto gastos'!$C$21</f>
        <v>847.88029925187038</v>
      </c>
      <c r="L31" s="929">
        <f>'[1]3.11 - Presupuesto gastos'!$C$21</f>
        <v>847.88029925187038</v>
      </c>
      <c r="M31" s="929">
        <f>'[1]3.11 - Presupuesto gastos'!$C$21</f>
        <v>847.88029925187038</v>
      </c>
      <c r="N31" s="929">
        <f>'[1]3.11 - Presupuesto gastos'!$C$21</f>
        <v>847.88029925187038</v>
      </c>
      <c r="O31" s="942">
        <f>'[1]3.11 - Presupuesto gastos'!$C$21</f>
        <v>847.88029925187038</v>
      </c>
      <c r="P31" s="943">
        <v>10174.563591022445</v>
      </c>
      <c r="Q31" s="941">
        <v>1386.4538653366583</v>
      </c>
      <c r="R31" s="929">
        <v>1386.4538653366583</v>
      </c>
      <c r="S31" s="929">
        <v>1386.4538653366583</v>
      </c>
      <c r="T31" s="929">
        <v>1386.4538653366583</v>
      </c>
      <c r="U31" s="929">
        <v>1386.4538653366583</v>
      </c>
      <c r="V31" s="929">
        <v>1386.4538653366583</v>
      </c>
      <c r="W31" s="929">
        <v>1386.4538653366583</v>
      </c>
      <c r="X31" s="929">
        <v>1386.4538653366583</v>
      </c>
      <c r="Y31" s="929">
        <v>1386.4538653366583</v>
      </c>
      <c r="Z31" s="929">
        <v>1386.4538653366583</v>
      </c>
      <c r="AA31" s="929">
        <v>1386.4538653366583</v>
      </c>
      <c r="AB31" s="942">
        <v>1386.4538653366583</v>
      </c>
      <c r="AC31" s="943">
        <v>16637.4463840399</v>
      </c>
      <c r="AD31" s="921">
        <v>2125.4337755610973</v>
      </c>
      <c r="AE31" s="968">
        <v>2125.4337755610973</v>
      </c>
      <c r="AF31" s="968">
        <v>2125.4337755610973</v>
      </c>
      <c r="AG31" s="968">
        <v>2125.4337755610973</v>
      </c>
      <c r="AH31" s="968">
        <v>2125.4337755610973</v>
      </c>
      <c r="AI31" s="968">
        <v>2125.4337755610973</v>
      </c>
      <c r="AJ31" s="968">
        <v>2125.4337755610973</v>
      </c>
      <c r="AK31" s="968">
        <v>2125.4337755610973</v>
      </c>
      <c r="AL31" s="968">
        <v>2125.4337755610973</v>
      </c>
      <c r="AM31" s="968">
        <v>2125.4337755610973</v>
      </c>
      <c r="AN31" s="968">
        <v>2125.4337755610973</v>
      </c>
      <c r="AO31" s="975">
        <v>2125.4337755610973</v>
      </c>
      <c r="AP31" s="943">
        <v>25505.205306733169</v>
      </c>
      <c r="AQ31" s="941">
        <v>2353.2094285087278</v>
      </c>
      <c r="AR31" s="929">
        <v>2353.2094285087278</v>
      </c>
      <c r="AS31" s="929">
        <v>2353.2094285087278</v>
      </c>
      <c r="AT31" s="929">
        <v>2353.2094285087278</v>
      </c>
      <c r="AU31" s="929">
        <v>2353.2094285087278</v>
      </c>
      <c r="AV31" s="929">
        <v>2353.2094285087278</v>
      </c>
      <c r="AW31" s="929">
        <v>2353.2094285087278</v>
      </c>
      <c r="AX31" s="929">
        <v>2353.2094285087278</v>
      </c>
      <c r="AY31" s="929">
        <v>2353.2094285087278</v>
      </c>
      <c r="AZ31" s="929">
        <v>2353.2094285087278</v>
      </c>
      <c r="BA31" s="929">
        <v>2353.2094285087278</v>
      </c>
      <c r="BB31" s="942">
        <v>2353.2094285087278</v>
      </c>
      <c r="BC31" s="943">
        <v>28238.513142104741</v>
      </c>
      <c r="BD31" s="941">
        <v>3144.9738931469728</v>
      </c>
      <c r="BE31" s="929">
        <v>3144.9738931469728</v>
      </c>
      <c r="BF31" s="929">
        <v>3144.9738931469728</v>
      </c>
      <c r="BG31" s="929">
        <v>3144.9738931469728</v>
      </c>
      <c r="BH31" s="929">
        <v>3144.9738931469728</v>
      </c>
      <c r="BI31" s="929">
        <v>3144.9738931469728</v>
      </c>
      <c r="BJ31" s="929">
        <v>3144.9738931469728</v>
      </c>
      <c r="BK31" s="929">
        <v>3144.9738931469728</v>
      </c>
      <c r="BL31" s="929">
        <v>3144.9738931469728</v>
      </c>
      <c r="BM31" s="929">
        <v>3144.9738931469728</v>
      </c>
      <c r="BN31" s="929">
        <v>3144.9738931469728</v>
      </c>
      <c r="BO31" s="942">
        <v>3144.9738931469728</v>
      </c>
      <c r="BP31" s="943">
        <v>37739.686717763674</v>
      </c>
    </row>
    <row r="32" spans="2:83">
      <c r="B32" s="1738"/>
      <c r="C32" s="274" t="s">
        <v>1160</v>
      </c>
      <c r="D32" s="941">
        <f>'[1]3.11 - Presupuesto gastos'!$C$22</f>
        <v>500</v>
      </c>
      <c r="E32" s="929">
        <f>'[1]3.11 - Presupuesto gastos'!$C$22</f>
        <v>500</v>
      </c>
      <c r="F32" s="929">
        <f>'[1]3.11 - Presupuesto gastos'!$C$22</f>
        <v>500</v>
      </c>
      <c r="G32" s="929">
        <f>'[1]3.11 - Presupuesto gastos'!$C$22</f>
        <v>500</v>
      </c>
      <c r="H32" s="929">
        <f>'[1]3.11 - Presupuesto gastos'!$C$22</f>
        <v>500</v>
      </c>
      <c r="I32" s="929">
        <f>'[1]3.11 - Presupuesto gastos'!$C$22</f>
        <v>500</v>
      </c>
      <c r="J32" s="929">
        <f>'[1]3.11 - Presupuesto gastos'!$C$22</f>
        <v>500</v>
      </c>
      <c r="K32" s="929">
        <f>'[1]3.11 - Presupuesto gastos'!$C$22</f>
        <v>500</v>
      </c>
      <c r="L32" s="929">
        <f>'[1]3.11 - Presupuesto gastos'!$C$22</f>
        <v>500</v>
      </c>
      <c r="M32" s="929">
        <f>'[1]3.11 - Presupuesto gastos'!$C$22</f>
        <v>500</v>
      </c>
      <c r="N32" s="929">
        <f>'[1]3.11 - Presupuesto gastos'!$C$22</f>
        <v>500</v>
      </c>
      <c r="O32" s="942">
        <f>'[1]3.11 - Presupuesto gastos'!$C$22</f>
        <v>500</v>
      </c>
      <c r="P32" s="943">
        <v>6000</v>
      </c>
      <c r="Q32" s="941">
        <v>700</v>
      </c>
      <c r="R32" s="929">
        <v>700</v>
      </c>
      <c r="S32" s="929">
        <v>700</v>
      </c>
      <c r="T32" s="929">
        <v>700</v>
      </c>
      <c r="U32" s="929">
        <v>700</v>
      </c>
      <c r="V32" s="929">
        <v>700</v>
      </c>
      <c r="W32" s="929">
        <v>700</v>
      </c>
      <c r="X32" s="929">
        <v>700</v>
      </c>
      <c r="Y32" s="929">
        <v>700</v>
      </c>
      <c r="Z32" s="929">
        <v>700</v>
      </c>
      <c r="AA32" s="929">
        <v>700</v>
      </c>
      <c r="AB32" s="942">
        <v>700</v>
      </c>
      <c r="AC32" s="943">
        <v>8400</v>
      </c>
      <c r="AD32" s="921">
        <v>900</v>
      </c>
      <c r="AE32" s="968">
        <v>900</v>
      </c>
      <c r="AF32" s="968">
        <v>900</v>
      </c>
      <c r="AG32" s="968">
        <v>900</v>
      </c>
      <c r="AH32" s="968">
        <v>900</v>
      </c>
      <c r="AI32" s="968">
        <v>900</v>
      </c>
      <c r="AJ32" s="968">
        <v>900</v>
      </c>
      <c r="AK32" s="968">
        <v>900</v>
      </c>
      <c r="AL32" s="968">
        <v>900</v>
      </c>
      <c r="AM32" s="968">
        <v>900</v>
      </c>
      <c r="AN32" s="968">
        <v>900</v>
      </c>
      <c r="AO32" s="975">
        <v>900</v>
      </c>
      <c r="AP32" s="943">
        <v>10800</v>
      </c>
      <c r="AQ32" s="941">
        <v>1200</v>
      </c>
      <c r="AR32" s="929">
        <v>1200</v>
      </c>
      <c r="AS32" s="929">
        <v>1200</v>
      </c>
      <c r="AT32" s="929">
        <v>1200</v>
      </c>
      <c r="AU32" s="929">
        <v>1200</v>
      </c>
      <c r="AV32" s="929">
        <v>1200</v>
      </c>
      <c r="AW32" s="929">
        <v>1200</v>
      </c>
      <c r="AX32" s="929">
        <v>1200</v>
      </c>
      <c r="AY32" s="929">
        <v>1200</v>
      </c>
      <c r="AZ32" s="929">
        <v>1200</v>
      </c>
      <c r="BA32" s="929">
        <v>1200</v>
      </c>
      <c r="BB32" s="942">
        <v>1200</v>
      </c>
      <c r="BC32" s="943">
        <v>14400</v>
      </c>
      <c r="BD32" s="941">
        <v>1300</v>
      </c>
      <c r="BE32" s="929">
        <v>1300</v>
      </c>
      <c r="BF32" s="929">
        <v>1300</v>
      </c>
      <c r="BG32" s="929">
        <v>1300</v>
      </c>
      <c r="BH32" s="929">
        <v>1300</v>
      </c>
      <c r="BI32" s="929">
        <v>1300</v>
      </c>
      <c r="BJ32" s="929">
        <v>1300</v>
      </c>
      <c r="BK32" s="929">
        <v>1300</v>
      </c>
      <c r="BL32" s="929">
        <v>1300</v>
      </c>
      <c r="BM32" s="929">
        <v>1300</v>
      </c>
      <c r="BN32" s="929">
        <v>1300</v>
      </c>
      <c r="BO32" s="942">
        <v>1300</v>
      </c>
      <c r="BP32" s="943">
        <v>15600</v>
      </c>
    </row>
    <row r="33" spans="2:68">
      <c r="B33" s="1738"/>
      <c r="C33" s="274" t="s">
        <v>1039</v>
      </c>
      <c r="D33" s="941">
        <f>D8*'[1]3.11 - Presupuesto gastos'!$D$137*'[1]3.11 - Presupuesto gastos'!$E$137</f>
        <v>0</v>
      </c>
      <c r="E33" s="929">
        <f>E8*'[1]3.11 - Presupuesto gastos'!$D$137*'[1]3.11 - Presupuesto gastos'!$E$137</f>
        <v>0</v>
      </c>
      <c r="F33" s="929">
        <f>F8*'[1]3.11 - Presupuesto gastos'!$D$137*'[1]3.11 - Presupuesto gastos'!$E$137</f>
        <v>188.79818312958523</v>
      </c>
      <c r="G33" s="929">
        <f>G8*'[1]3.11 - Presupuesto gastos'!$D$137*'[1]3.11 - Presupuesto gastos'!$E$137</f>
        <v>269.32288500583076</v>
      </c>
      <c r="H33" s="929">
        <f>H8*'[1]3.11 - Presupuesto gastos'!$D$137*'[1]3.11 - Presupuesto gastos'!$E$137</f>
        <v>466.39720644274348</v>
      </c>
      <c r="I33" s="929">
        <f>I8*'[1]3.11 - Presupuesto gastos'!$D$137*'[1]3.11 - Presupuesto gastos'!$E$137</f>
        <v>831.55374562100917</v>
      </c>
      <c r="J33" s="929">
        <f>J8*'[1]3.11 - Presupuesto gastos'!$D$137*'[1]3.11 - Presupuesto gastos'!$E$137</f>
        <v>1136.4301844876602</v>
      </c>
      <c r="K33" s="929">
        <f>K8*'[1]3.11 - Presupuesto gastos'!$D$137*'[1]3.11 - Presupuesto gastos'!$E$137</f>
        <v>1601.5126795143365</v>
      </c>
      <c r="L33" s="929">
        <f>L8*'[1]3.11 - Presupuesto gastos'!$D$137*'[1]3.11 - Presupuesto gastos'!$E$137</f>
        <v>1632.4260986296981</v>
      </c>
      <c r="M33" s="929">
        <f>M8*'[1]3.11 - Presupuesto gastos'!$D$137*'[1]3.11 - Presupuesto gastos'!$E$137</f>
        <v>1767.5480636568482</v>
      </c>
      <c r="N33" s="929">
        <f>N8*'[1]3.11 - Presupuesto gastos'!$D$137*'[1]3.11 - Presupuesto gastos'!$E$137</f>
        <v>2051.2250658497455</v>
      </c>
      <c r="O33" s="942">
        <f>O8*'[1]3.11 - Presupuesto gastos'!$D$137*'[1]3.11 - Presupuesto gastos'!$E$137</f>
        <v>1766.6420479714282</v>
      </c>
      <c r="P33" s="943">
        <v>11711.856160308886</v>
      </c>
      <c r="Q33" s="941">
        <v>1080.9456334762287</v>
      </c>
      <c r="R33" s="929">
        <v>1079.2213156400476</v>
      </c>
      <c r="S33" s="929">
        <v>1271.4437032872759</v>
      </c>
      <c r="T33" s="929">
        <v>1208.8553406767653</v>
      </c>
      <c r="U33" s="929">
        <v>1255.7472610193511</v>
      </c>
      <c r="V33" s="929">
        <v>1398.9801878200626</v>
      </c>
      <c r="W33" s="929">
        <v>1390.1355940185324</v>
      </c>
      <c r="X33" s="929">
        <v>1538.8851908828892</v>
      </c>
      <c r="Y33" s="929">
        <v>1463.6722677232206</v>
      </c>
      <c r="Z33" s="929">
        <v>1398.049294455165</v>
      </c>
      <c r="AA33" s="929">
        <v>1451.3072908094832</v>
      </c>
      <c r="AB33" s="942">
        <v>1187.1855356901592</v>
      </c>
      <c r="AC33" s="943">
        <v>15724.428615499181</v>
      </c>
      <c r="AD33" s="921">
        <v>1210.3859315119528</v>
      </c>
      <c r="AE33" s="968">
        <v>1208.1827119956097</v>
      </c>
      <c r="AF33" s="968">
        <v>1423.0565823861514</v>
      </c>
      <c r="AG33" s="968">
        <v>1352.7051079131188</v>
      </c>
      <c r="AH33" s="968">
        <v>1404.8683269579858</v>
      </c>
      <c r="AI33" s="968">
        <v>1564.7693935077514</v>
      </c>
      <c r="AJ33" s="968">
        <v>1554.5408555067283</v>
      </c>
      <c r="AK33" s="968">
        <v>1720.5139038525365</v>
      </c>
      <c r="AL33" s="968">
        <v>1636.076403672791</v>
      </c>
      <c r="AM33" s="968">
        <v>1562.3947223930404</v>
      </c>
      <c r="AN33" s="968">
        <v>1621.574697606738</v>
      </c>
      <c r="AO33" s="975">
        <v>1326.191483533956</v>
      </c>
      <c r="AP33" s="943">
        <v>17585.26012083836</v>
      </c>
      <c r="AQ33" s="941">
        <v>901.22046436116261</v>
      </c>
      <c r="AR33" s="929">
        <v>899.39677762705116</v>
      </c>
      <c r="AS33" s="929">
        <v>1059.1394286814389</v>
      </c>
      <c r="AT33" s="929">
        <v>1006.577157010136</v>
      </c>
      <c r="AU33" s="929">
        <v>1045.1851773906023</v>
      </c>
      <c r="AV33" s="929">
        <v>1163.9178865149261</v>
      </c>
      <c r="AW33" s="929">
        <v>1156.0835155594993</v>
      </c>
      <c r="AX33" s="929">
        <v>1279.2664361511811</v>
      </c>
      <c r="AY33" s="929">
        <v>1216.249918784395</v>
      </c>
      <c r="AZ33" s="929">
        <v>1161.2536613814095</v>
      </c>
      <c r="BA33" s="929">
        <v>1205.0110784753369</v>
      </c>
      <c r="BB33" s="942">
        <v>985.32320875817504</v>
      </c>
      <c r="BC33" s="943">
        <v>13078.624710695316</v>
      </c>
      <c r="BD33" s="941">
        <v>1255.2315142210321</v>
      </c>
      <c r="BE33" s="929">
        <v>1252.4597869145055</v>
      </c>
      <c r="BF33" s="929">
        <v>1474.6396285264752</v>
      </c>
      <c r="BG33" s="929">
        <v>1401.2020254112485</v>
      </c>
      <c r="BH33" s="929">
        <v>1454.6833293898762</v>
      </c>
      <c r="BI33" s="929">
        <v>1619.6445035661566</v>
      </c>
      <c r="BJ33" s="929">
        <v>1608.4564476460241</v>
      </c>
      <c r="BK33" s="929">
        <v>1779.5263885654213</v>
      </c>
      <c r="BL33" s="929">
        <v>1691.5707462529483</v>
      </c>
      <c r="BM33" s="929">
        <v>1614.8007070021399</v>
      </c>
      <c r="BN33" s="929">
        <v>1675.3592154798234</v>
      </c>
      <c r="BO33" s="942">
        <v>1369.6867089928405</v>
      </c>
      <c r="BP33" s="943">
        <v>18197.261001968494</v>
      </c>
    </row>
    <row r="34" spans="2:68">
      <c r="B34" s="1738"/>
      <c r="C34" s="274" t="s">
        <v>1038</v>
      </c>
      <c r="D34" s="941">
        <f>'[1]3.11 - Presupuesto gastos'!$C$23</f>
        <v>1000</v>
      </c>
      <c r="E34" s="929">
        <f>'[1]3.11 - Presupuesto gastos'!$C$23</f>
        <v>1000</v>
      </c>
      <c r="F34" s="929">
        <f>'[1]3.11 - Presupuesto gastos'!$C$23</f>
        <v>1000</v>
      </c>
      <c r="G34" s="929">
        <f>'[1]3.11 - Presupuesto gastos'!$C$23</f>
        <v>1000</v>
      </c>
      <c r="H34" s="929">
        <f>'[1]3.11 - Presupuesto gastos'!$C$23</f>
        <v>1000</v>
      </c>
      <c r="I34" s="929">
        <f>'[1]3.11 - Presupuesto gastos'!$C$23</f>
        <v>1000</v>
      </c>
      <c r="J34" s="929">
        <f>'[1]3.11 - Presupuesto gastos'!$C$23</f>
        <v>1000</v>
      </c>
      <c r="K34" s="929">
        <f>'[1]3.11 - Presupuesto gastos'!$C$23</f>
        <v>1000</v>
      </c>
      <c r="L34" s="929">
        <f>'[1]3.11 - Presupuesto gastos'!$C$23</f>
        <v>1000</v>
      </c>
      <c r="M34" s="929">
        <f>'[1]3.11 - Presupuesto gastos'!$C$23</f>
        <v>1000</v>
      </c>
      <c r="N34" s="929">
        <f>'[1]3.11 - Presupuesto gastos'!$C$23</f>
        <v>1000</v>
      </c>
      <c r="O34" s="942">
        <f>'[1]3.11 - Presupuesto gastos'!$C$23</f>
        <v>1000</v>
      </c>
      <c r="P34" s="943">
        <v>12000</v>
      </c>
      <c r="Q34" s="941">
        <v>850</v>
      </c>
      <c r="R34" s="929">
        <v>850</v>
      </c>
      <c r="S34" s="929">
        <v>850</v>
      </c>
      <c r="T34" s="929">
        <v>850</v>
      </c>
      <c r="U34" s="929">
        <v>850</v>
      </c>
      <c r="V34" s="929">
        <v>850</v>
      </c>
      <c r="W34" s="929">
        <v>850</v>
      </c>
      <c r="X34" s="929">
        <v>850</v>
      </c>
      <c r="Y34" s="929">
        <v>850</v>
      </c>
      <c r="Z34" s="929">
        <v>850</v>
      </c>
      <c r="AA34" s="929">
        <v>850</v>
      </c>
      <c r="AB34" s="942">
        <v>850</v>
      </c>
      <c r="AC34" s="943">
        <v>10200</v>
      </c>
      <c r="AD34" s="921">
        <v>850</v>
      </c>
      <c r="AE34" s="968">
        <v>850</v>
      </c>
      <c r="AF34" s="968">
        <v>850</v>
      </c>
      <c r="AG34" s="968">
        <v>850</v>
      </c>
      <c r="AH34" s="968">
        <v>850</v>
      </c>
      <c r="AI34" s="968">
        <v>850</v>
      </c>
      <c r="AJ34" s="968">
        <v>850</v>
      </c>
      <c r="AK34" s="968">
        <v>850</v>
      </c>
      <c r="AL34" s="968">
        <v>850</v>
      </c>
      <c r="AM34" s="968">
        <v>850</v>
      </c>
      <c r="AN34" s="968">
        <v>850</v>
      </c>
      <c r="AO34" s="975">
        <v>850</v>
      </c>
      <c r="AP34" s="943">
        <v>10200</v>
      </c>
      <c r="AQ34" s="941">
        <v>750</v>
      </c>
      <c r="AR34" s="929">
        <v>750</v>
      </c>
      <c r="AS34" s="929">
        <v>750</v>
      </c>
      <c r="AT34" s="929">
        <v>750</v>
      </c>
      <c r="AU34" s="929">
        <v>750</v>
      </c>
      <c r="AV34" s="929">
        <v>750</v>
      </c>
      <c r="AW34" s="929">
        <v>750</v>
      </c>
      <c r="AX34" s="929">
        <v>750</v>
      </c>
      <c r="AY34" s="929">
        <v>750</v>
      </c>
      <c r="AZ34" s="929">
        <v>750</v>
      </c>
      <c r="BA34" s="929">
        <v>750</v>
      </c>
      <c r="BB34" s="942">
        <v>750</v>
      </c>
      <c r="BC34" s="943">
        <v>9000</v>
      </c>
      <c r="BD34" s="941">
        <v>750</v>
      </c>
      <c r="BE34" s="929">
        <v>750</v>
      </c>
      <c r="BF34" s="929">
        <v>750</v>
      </c>
      <c r="BG34" s="929">
        <v>750</v>
      </c>
      <c r="BH34" s="929">
        <v>750</v>
      </c>
      <c r="BI34" s="929">
        <v>750</v>
      </c>
      <c r="BJ34" s="929">
        <v>750</v>
      </c>
      <c r="BK34" s="929">
        <v>750</v>
      </c>
      <c r="BL34" s="929">
        <v>750</v>
      </c>
      <c r="BM34" s="929">
        <v>750</v>
      </c>
      <c r="BN34" s="929">
        <v>750</v>
      </c>
      <c r="BO34" s="942">
        <v>750</v>
      </c>
      <c r="BP34" s="943">
        <v>9000</v>
      </c>
    </row>
    <row r="35" spans="2:68" ht="15" thickBot="1">
      <c r="B35" s="1371"/>
      <c r="C35" s="275" t="s">
        <v>1040</v>
      </c>
      <c r="D35" s="934">
        <f>'[1]3.11 - Presupuesto gastos'!$C$25</f>
        <v>199.39820200386106</v>
      </c>
      <c r="E35" s="919">
        <f>'[1]3.11 - Presupuesto gastos'!$C$25</f>
        <v>199.39820200386106</v>
      </c>
      <c r="F35" s="919">
        <f>'[1]3.11 - Presupuesto gastos'!$C$25</f>
        <v>199.39820200386106</v>
      </c>
      <c r="G35" s="919">
        <f>'[1]3.11 - Presupuesto gastos'!$C$25</f>
        <v>199.39820200386106</v>
      </c>
      <c r="H35" s="919">
        <f>'[1]3.11 - Presupuesto gastos'!$C$25</f>
        <v>199.39820200386106</v>
      </c>
      <c r="I35" s="919">
        <f>'[1]3.11 - Presupuesto gastos'!$C$25</f>
        <v>199.39820200386106</v>
      </c>
      <c r="J35" s="919">
        <f>'[1]3.11 - Presupuesto gastos'!$C$25</f>
        <v>199.39820200386106</v>
      </c>
      <c r="K35" s="919">
        <f>'[1]3.11 - Presupuesto gastos'!$C$25</f>
        <v>199.39820200386106</v>
      </c>
      <c r="L35" s="919">
        <f>'[1]3.11 - Presupuesto gastos'!$C$25</f>
        <v>199.39820200386106</v>
      </c>
      <c r="M35" s="919">
        <f>'[1]3.11 - Presupuesto gastos'!$C$25</f>
        <v>199.39820200386106</v>
      </c>
      <c r="N35" s="919">
        <f>'[1]3.11 - Presupuesto gastos'!$C$25</f>
        <v>199.39820200386106</v>
      </c>
      <c r="O35" s="940">
        <f>'[1]3.11 - Presupuesto gastos'!$C$25</f>
        <v>199.39820200386106</v>
      </c>
      <c r="P35" s="935">
        <v>2392.7784240463329</v>
      </c>
      <c r="Q35" s="934">
        <v>709.35052564579917</v>
      </c>
      <c r="R35" s="919">
        <v>709.35052564579917</v>
      </c>
      <c r="S35" s="919">
        <v>709.35052564579917</v>
      </c>
      <c r="T35" s="919">
        <v>709.35052564579917</v>
      </c>
      <c r="U35" s="919">
        <v>709.35052564579917</v>
      </c>
      <c r="V35" s="919">
        <v>709.35052564579917</v>
      </c>
      <c r="W35" s="919">
        <v>709.35052564579917</v>
      </c>
      <c r="X35" s="919">
        <v>709.35052564579917</v>
      </c>
      <c r="Y35" s="919">
        <v>709.35052564579917</v>
      </c>
      <c r="Z35" s="919">
        <v>709.35052564579917</v>
      </c>
      <c r="AA35" s="919">
        <v>709.35052564579917</v>
      </c>
      <c r="AB35" s="940">
        <v>709.35052564579917</v>
      </c>
      <c r="AC35" s="935">
        <v>8512.2063077495895</v>
      </c>
      <c r="AD35" s="937">
        <v>788.07682370159841</v>
      </c>
      <c r="AE35" s="970">
        <v>788.07682370159841</v>
      </c>
      <c r="AF35" s="970">
        <v>788.07682370159841</v>
      </c>
      <c r="AG35" s="970">
        <v>788.07682370159841</v>
      </c>
      <c r="AH35" s="970">
        <v>788.07682370159841</v>
      </c>
      <c r="AI35" s="970">
        <v>788.07682370159841</v>
      </c>
      <c r="AJ35" s="970">
        <v>788.07682370159841</v>
      </c>
      <c r="AK35" s="970">
        <v>788.07682370159841</v>
      </c>
      <c r="AL35" s="970">
        <v>788.07682370159841</v>
      </c>
      <c r="AM35" s="970">
        <v>788.07682370159841</v>
      </c>
      <c r="AN35" s="970">
        <v>788.07682370159841</v>
      </c>
      <c r="AO35" s="976">
        <v>788.07682370159841</v>
      </c>
      <c r="AP35" s="935">
        <v>9456.9218844191801</v>
      </c>
      <c r="AQ35" s="934">
        <v>1146.4609129019432</v>
      </c>
      <c r="AR35" s="919">
        <v>1146.4609129019432</v>
      </c>
      <c r="AS35" s="919">
        <v>1146.4609129019432</v>
      </c>
      <c r="AT35" s="919">
        <v>1146.4609129019432</v>
      </c>
      <c r="AU35" s="919">
        <v>1146.4609129019432</v>
      </c>
      <c r="AV35" s="919">
        <v>1146.4609129019432</v>
      </c>
      <c r="AW35" s="919">
        <v>1146.4609129019432</v>
      </c>
      <c r="AX35" s="919">
        <v>1146.4609129019432</v>
      </c>
      <c r="AY35" s="919">
        <v>1146.4609129019432</v>
      </c>
      <c r="AZ35" s="919">
        <v>1146.4609129019432</v>
      </c>
      <c r="BA35" s="919">
        <v>1146.4609129019432</v>
      </c>
      <c r="BB35" s="940">
        <v>1146.4609129019432</v>
      </c>
      <c r="BC35" s="935">
        <v>13757.530954823314</v>
      </c>
      <c r="BD35" s="934">
        <v>1574.2585986222759</v>
      </c>
      <c r="BE35" s="919">
        <v>1574.2585986222759</v>
      </c>
      <c r="BF35" s="919">
        <v>1574.2585986222759</v>
      </c>
      <c r="BG35" s="919">
        <v>1574.2585986222759</v>
      </c>
      <c r="BH35" s="919">
        <v>1574.2585986222759</v>
      </c>
      <c r="BI35" s="919">
        <v>1574.2585986222759</v>
      </c>
      <c r="BJ35" s="919">
        <v>1574.2585986222759</v>
      </c>
      <c r="BK35" s="919">
        <v>1574.2585986222759</v>
      </c>
      <c r="BL35" s="919">
        <v>1574.2585986222759</v>
      </c>
      <c r="BM35" s="919">
        <v>1574.2585986222759</v>
      </c>
      <c r="BN35" s="919">
        <v>1574.2585986222759</v>
      </c>
      <c r="BO35" s="940">
        <v>1574.2585986222759</v>
      </c>
      <c r="BP35" s="935">
        <v>18891.103183467316</v>
      </c>
    </row>
    <row r="36" spans="2:68">
      <c r="B36" s="1727" t="s">
        <v>607</v>
      </c>
      <c r="C36" s="273" t="s">
        <v>1161</v>
      </c>
      <c r="D36" s="1264">
        <f>$P$36/12</f>
        <v>0</v>
      </c>
      <c r="E36" s="216">
        <f t="shared" ref="E36:O36" si="0">$P$36/12</f>
        <v>0</v>
      </c>
      <c r="F36" s="216">
        <f t="shared" si="0"/>
        <v>0</v>
      </c>
      <c r="G36" s="216">
        <f t="shared" si="0"/>
        <v>0</v>
      </c>
      <c r="H36" s="216">
        <f t="shared" si="0"/>
        <v>0</v>
      </c>
      <c r="I36" s="216">
        <f t="shared" si="0"/>
        <v>0</v>
      </c>
      <c r="J36" s="216">
        <f t="shared" si="0"/>
        <v>0</v>
      </c>
      <c r="K36" s="216">
        <f t="shared" si="0"/>
        <v>0</v>
      </c>
      <c r="L36" s="216">
        <f t="shared" si="0"/>
        <v>0</v>
      </c>
      <c r="M36" s="216">
        <f t="shared" si="0"/>
        <v>0</v>
      </c>
      <c r="N36" s="216">
        <f t="shared" si="0"/>
        <v>0</v>
      </c>
      <c r="O36" s="1265">
        <f t="shared" si="0"/>
        <v>0</v>
      </c>
      <c r="P36" s="960">
        <v>0</v>
      </c>
      <c r="Q36" s="1264">
        <v>29.284940994937983</v>
      </c>
      <c r="R36" s="216">
        <v>29.284940994937983</v>
      </c>
      <c r="S36" s="216">
        <v>29.284940994937983</v>
      </c>
      <c r="T36" s="216">
        <v>29.284940994937983</v>
      </c>
      <c r="U36" s="216">
        <v>29.284940994937983</v>
      </c>
      <c r="V36" s="216">
        <v>29.284940994937983</v>
      </c>
      <c r="W36" s="216">
        <v>29.284940994937983</v>
      </c>
      <c r="X36" s="216">
        <v>29.284940994937983</v>
      </c>
      <c r="Y36" s="216">
        <v>29.284940994937983</v>
      </c>
      <c r="Z36" s="216">
        <v>29.284940994937983</v>
      </c>
      <c r="AA36" s="216">
        <v>29.284940994937983</v>
      </c>
      <c r="AB36" s="1265">
        <v>29.284940994937983</v>
      </c>
      <c r="AC36" s="1266">
        <v>351.4192919392558</v>
      </c>
      <c r="AD36" s="1267">
        <v>0</v>
      </c>
      <c r="AE36" s="821">
        <v>0</v>
      </c>
      <c r="AF36" s="821">
        <v>0</v>
      </c>
      <c r="AG36" s="821">
        <v>0</v>
      </c>
      <c r="AH36" s="821">
        <v>0</v>
      </c>
      <c r="AI36" s="821">
        <v>0</v>
      </c>
      <c r="AJ36" s="821">
        <v>0</v>
      </c>
      <c r="AK36" s="821">
        <v>0</v>
      </c>
      <c r="AL36" s="821">
        <v>0</v>
      </c>
      <c r="AM36" s="821">
        <v>0</v>
      </c>
      <c r="AN36" s="821">
        <v>0</v>
      </c>
      <c r="AO36" s="1268">
        <v>0</v>
      </c>
      <c r="AP36" s="1266">
        <v>0</v>
      </c>
      <c r="AQ36" s="1264">
        <v>0</v>
      </c>
      <c r="AR36" s="216">
        <v>0</v>
      </c>
      <c r="AS36" s="216">
        <v>0</v>
      </c>
      <c r="AT36" s="216">
        <v>0</v>
      </c>
      <c r="AU36" s="216">
        <v>0</v>
      </c>
      <c r="AV36" s="216">
        <v>0</v>
      </c>
      <c r="AW36" s="216">
        <v>0</v>
      </c>
      <c r="AX36" s="216">
        <v>0</v>
      </c>
      <c r="AY36" s="216">
        <v>0</v>
      </c>
      <c r="AZ36" s="216">
        <v>0</v>
      </c>
      <c r="BA36" s="216">
        <v>0</v>
      </c>
      <c r="BB36" s="1265">
        <v>0</v>
      </c>
      <c r="BC36" s="1266">
        <v>0</v>
      </c>
      <c r="BD36" s="1264">
        <v>0</v>
      </c>
      <c r="BE36" s="216">
        <v>0</v>
      </c>
      <c r="BF36" s="216">
        <v>0</v>
      </c>
      <c r="BG36" s="216">
        <v>0</v>
      </c>
      <c r="BH36" s="216">
        <v>0</v>
      </c>
      <c r="BI36" s="216">
        <v>0</v>
      </c>
      <c r="BJ36" s="216">
        <v>0</v>
      </c>
      <c r="BK36" s="216">
        <v>0</v>
      </c>
      <c r="BL36" s="216">
        <v>0</v>
      </c>
      <c r="BM36" s="216">
        <v>0</v>
      </c>
      <c r="BN36" s="216">
        <v>0</v>
      </c>
      <c r="BO36" s="1265">
        <v>0</v>
      </c>
      <c r="BP36" s="1266">
        <v>0</v>
      </c>
    </row>
    <row r="37" spans="2:68">
      <c r="B37" s="1728"/>
      <c r="C37" s="274" t="s">
        <v>1162</v>
      </c>
      <c r="D37" s="1120">
        <f t="shared" ref="D37:O37" si="1">$P$37/12</f>
        <v>0</v>
      </c>
      <c r="E37" s="212">
        <f t="shared" si="1"/>
        <v>0</v>
      </c>
      <c r="F37" s="212">
        <f t="shared" si="1"/>
        <v>0</v>
      </c>
      <c r="G37" s="212">
        <f t="shared" si="1"/>
        <v>0</v>
      </c>
      <c r="H37" s="212">
        <f t="shared" si="1"/>
        <v>0</v>
      </c>
      <c r="I37" s="212">
        <f t="shared" si="1"/>
        <v>0</v>
      </c>
      <c r="J37" s="212">
        <f t="shared" si="1"/>
        <v>0</v>
      </c>
      <c r="K37" s="212">
        <f t="shared" si="1"/>
        <v>0</v>
      </c>
      <c r="L37" s="212">
        <f t="shared" si="1"/>
        <v>0</v>
      </c>
      <c r="M37" s="212">
        <f t="shared" si="1"/>
        <v>0</v>
      </c>
      <c r="N37" s="212">
        <f t="shared" si="1"/>
        <v>0</v>
      </c>
      <c r="O37" s="1097">
        <f t="shared" si="1"/>
        <v>0</v>
      </c>
      <c r="P37" s="943">
        <v>0</v>
      </c>
      <c r="Q37" s="1120">
        <v>0</v>
      </c>
      <c r="R37" s="212">
        <v>0</v>
      </c>
      <c r="S37" s="212">
        <v>0</v>
      </c>
      <c r="T37" s="212">
        <v>0</v>
      </c>
      <c r="U37" s="212">
        <v>0</v>
      </c>
      <c r="V37" s="212">
        <v>0</v>
      </c>
      <c r="W37" s="212">
        <v>0</v>
      </c>
      <c r="X37" s="212">
        <v>0</v>
      </c>
      <c r="Y37" s="212">
        <v>0</v>
      </c>
      <c r="Z37" s="212">
        <v>0</v>
      </c>
      <c r="AA37" s="212">
        <v>0</v>
      </c>
      <c r="AB37" s="1097">
        <v>0</v>
      </c>
      <c r="AC37" s="1132">
        <v>0</v>
      </c>
      <c r="AD37" s="1131">
        <v>6576.8584670054261</v>
      </c>
      <c r="AE37" s="193">
        <v>6576.8584670054261</v>
      </c>
      <c r="AF37" s="193">
        <v>6576.8584670054261</v>
      </c>
      <c r="AG37" s="193">
        <v>6576.8584670054261</v>
      </c>
      <c r="AH37" s="193">
        <v>6576.8584670054261</v>
      </c>
      <c r="AI37" s="193">
        <v>6576.8584670054261</v>
      </c>
      <c r="AJ37" s="193">
        <v>6576.8584670054261</v>
      </c>
      <c r="AK37" s="193">
        <v>6576.8584670054261</v>
      </c>
      <c r="AL37" s="193">
        <v>6576.8584670054261</v>
      </c>
      <c r="AM37" s="193">
        <v>6576.8584670054261</v>
      </c>
      <c r="AN37" s="193">
        <v>6576.8584670054261</v>
      </c>
      <c r="AO37" s="1155">
        <v>6576.8584670054261</v>
      </c>
      <c r="AP37" s="1132">
        <v>78922.301604065113</v>
      </c>
      <c r="AQ37" s="1120">
        <v>0</v>
      </c>
      <c r="AR37" s="212">
        <v>0</v>
      </c>
      <c r="AS37" s="212">
        <v>0</v>
      </c>
      <c r="AT37" s="212">
        <v>0</v>
      </c>
      <c r="AU37" s="212">
        <v>0</v>
      </c>
      <c r="AV37" s="212">
        <v>0</v>
      </c>
      <c r="AW37" s="212">
        <v>0</v>
      </c>
      <c r="AX37" s="212">
        <v>0</v>
      </c>
      <c r="AY37" s="212">
        <v>0</v>
      </c>
      <c r="AZ37" s="212">
        <v>0</v>
      </c>
      <c r="BA37" s="212">
        <v>0</v>
      </c>
      <c r="BB37" s="1097">
        <v>0</v>
      </c>
      <c r="BC37" s="1132">
        <v>0</v>
      </c>
      <c r="BD37" s="1120">
        <v>0</v>
      </c>
      <c r="BE37" s="212">
        <v>0</v>
      </c>
      <c r="BF37" s="212">
        <v>0</v>
      </c>
      <c r="BG37" s="212">
        <v>0</v>
      </c>
      <c r="BH37" s="212">
        <v>0</v>
      </c>
      <c r="BI37" s="212">
        <v>0</v>
      </c>
      <c r="BJ37" s="212">
        <v>0</v>
      </c>
      <c r="BK37" s="212">
        <v>0</v>
      </c>
      <c r="BL37" s="212">
        <v>0</v>
      </c>
      <c r="BM37" s="212">
        <v>0</v>
      </c>
      <c r="BN37" s="212">
        <v>0</v>
      </c>
      <c r="BO37" s="1097">
        <v>0</v>
      </c>
      <c r="BP37" s="1132">
        <v>0</v>
      </c>
    </row>
    <row r="38" spans="2:68">
      <c r="B38" s="1728"/>
      <c r="C38" s="274" t="s">
        <v>1163</v>
      </c>
      <c r="D38" s="1120">
        <f>$P$38/12</f>
        <v>0</v>
      </c>
      <c r="E38" s="212">
        <f t="shared" ref="E38:O38" si="2">$P$38/12</f>
        <v>0</v>
      </c>
      <c r="F38" s="212">
        <f t="shared" si="2"/>
        <v>0</v>
      </c>
      <c r="G38" s="212">
        <f t="shared" si="2"/>
        <v>0</v>
      </c>
      <c r="H38" s="212">
        <f t="shared" si="2"/>
        <v>0</v>
      </c>
      <c r="I38" s="212">
        <f t="shared" si="2"/>
        <v>0</v>
      </c>
      <c r="J38" s="212">
        <f t="shared" si="2"/>
        <v>0</v>
      </c>
      <c r="K38" s="212">
        <f t="shared" si="2"/>
        <v>0</v>
      </c>
      <c r="L38" s="212">
        <f t="shared" si="2"/>
        <v>0</v>
      </c>
      <c r="M38" s="212">
        <f t="shared" si="2"/>
        <v>0</v>
      </c>
      <c r="N38" s="212">
        <f t="shared" si="2"/>
        <v>0</v>
      </c>
      <c r="O38" s="1097">
        <f t="shared" si="2"/>
        <v>0</v>
      </c>
      <c r="P38" s="943">
        <v>0</v>
      </c>
      <c r="Q38" s="1120">
        <v>0</v>
      </c>
      <c r="R38" s="212">
        <v>0</v>
      </c>
      <c r="S38" s="212">
        <v>0</v>
      </c>
      <c r="T38" s="212">
        <v>0</v>
      </c>
      <c r="U38" s="212">
        <v>0</v>
      </c>
      <c r="V38" s="212">
        <v>0</v>
      </c>
      <c r="W38" s="212">
        <v>0</v>
      </c>
      <c r="X38" s="212">
        <v>0</v>
      </c>
      <c r="Y38" s="212">
        <v>0</v>
      </c>
      <c r="Z38" s="212">
        <v>0</v>
      </c>
      <c r="AA38" s="212">
        <v>0</v>
      </c>
      <c r="AB38" s="1097">
        <v>0</v>
      </c>
      <c r="AC38" s="1132">
        <v>0</v>
      </c>
      <c r="AD38" s="1131">
        <v>0</v>
      </c>
      <c r="AE38" s="193">
        <v>0</v>
      </c>
      <c r="AF38" s="193">
        <v>0</v>
      </c>
      <c r="AG38" s="193">
        <v>0</v>
      </c>
      <c r="AH38" s="193">
        <v>0</v>
      </c>
      <c r="AI38" s="193">
        <v>0</v>
      </c>
      <c r="AJ38" s="193">
        <v>0</v>
      </c>
      <c r="AK38" s="193">
        <v>0</v>
      </c>
      <c r="AL38" s="193">
        <v>0</v>
      </c>
      <c r="AM38" s="193">
        <v>0</v>
      </c>
      <c r="AN38" s="193">
        <v>0</v>
      </c>
      <c r="AO38" s="1155">
        <v>0</v>
      </c>
      <c r="AP38" s="1132">
        <v>0</v>
      </c>
      <c r="AQ38" s="1120">
        <v>18910.54705657778</v>
      </c>
      <c r="AR38" s="212">
        <v>18910.54705657778</v>
      </c>
      <c r="AS38" s="212">
        <v>18910.54705657778</v>
      </c>
      <c r="AT38" s="212">
        <v>18910.54705657778</v>
      </c>
      <c r="AU38" s="212">
        <v>18910.54705657778</v>
      </c>
      <c r="AV38" s="212">
        <v>18910.54705657778</v>
      </c>
      <c r="AW38" s="212">
        <v>18910.54705657778</v>
      </c>
      <c r="AX38" s="212">
        <v>18910.54705657778</v>
      </c>
      <c r="AY38" s="212">
        <v>18910.54705657778</v>
      </c>
      <c r="AZ38" s="212">
        <v>18910.54705657778</v>
      </c>
      <c r="BA38" s="212">
        <v>18910.54705657778</v>
      </c>
      <c r="BB38" s="1097">
        <v>18910.54705657778</v>
      </c>
      <c r="BC38" s="1132">
        <v>226926.56467893336</v>
      </c>
      <c r="BD38" s="1120">
        <v>34314.356354093499</v>
      </c>
      <c r="BE38" s="212">
        <v>34314.356354093499</v>
      </c>
      <c r="BF38" s="212">
        <v>34314.356354093499</v>
      </c>
      <c r="BG38" s="212">
        <v>34314.356354093499</v>
      </c>
      <c r="BH38" s="212">
        <v>34314.356354093499</v>
      </c>
      <c r="BI38" s="212">
        <v>34314.356354093499</v>
      </c>
      <c r="BJ38" s="212">
        <v>34314.356354093499</v>
      </c>
      <c r="BK38" s="212">
        <v>34314.356354093499</v>
      </c>
      <c r="BL38" s="212">
        <v>34314.356354093499</v>
      </c>
      <c r="BM38" s="212">
        <v>34314.356354093499</v>
      </c>
      <c r="BN38" s="212">
        <v>34314.356354093499</v>
      </c>
      <c r="BO38" s="1097">
        <v>34314.356354093499</v>
      </c>
      <c r="BP38" s="1132">
        <v>411772.27624912199</v>
      </c>
    </row>
    <row r="39" spans="2:68" ht="15" thickBot="1">
      <c r="B39" s="1729"/>
      <c r="C39" s="275" t="s">
        <v>1164</v>
      </c>
      <c r="D39" s="1121">
        <f>($P$39/$P$8)*D8</f>
        <v>0</v>
      </c>
      <c r="E39" s="1121">
        <f t="shared" ref="E39:O39" si="3">($P$39/$P$8)*E8</f>
        <v>0</v>
      </c>
      <c r="F39" s="1121">
        <f t="shared" si="3"/>
        <v>56.639454938875559</v>
      </c>
      <c r="G39" s="1121">
        <f t="shared" si="3"/>
        <v>80.79686550174921</v>
      </c>
      <c r="H39" s="1121">
        <f t="shared" si="3"/>
        <v>139.91916193282304</v>
      </c>
      <c r="I39" s="1121">
        <f t="shared" si="3"/>
        <v>249.46612368630272</v>
      </c>
      <c r="J39" s="1121">
        <f t="shared" si="3"/>
        <v>340.92905534629801</v>
      </c>
      <c r="K39" s="1121">
        <f t="shared" si="3"/>
        <v>480.45380385430087</v>
      </c>
      <c r="L39" s="1121">
        <f t="shared" si="3"/>
        <v>489.72782958890934</v>
      </c>
      <c r="M39" s="1121">
        <f t="shared" si="3"/>
        <v>530.26441909705443</v>
      </c>
      <c r="N39" s="1121">
        <f t="shared" si="3"/>
        <v>615.36751975492359</v>
      </c>
      <c r="O39" s="1121">
        <f t="shared" si="3"/>
        <v>529.99261439142833</v>
      </c>
      <c r="P39" s="935">
        <v>3513.5568480926649</v>
      </c>
      <c r="Q39" s="1121">
        <v>1080.9456334762285</v>
      </c>
      <c r="R39" s="1121">
        <v>1079.2213156400478</v>
      </c>
      <c r="S39" s="1121">
        <v>1271.4437032872759</v>
      </c>
      <c r="T39" s="1121">
        <v>1208.8553406767653</v>
      </c>
      <c r="U39" s="1121">
        <v>1255.7472610193511</v>
      </c>
      <c r="V39" s="1121">
        <v>1398.9801878200626</v>
      </c>
      <c r="W39" s="1121">
        <v>1390.1355940185324</v>
      </c>
      <c r="X39" s="1121">
        <v>1538.8851908828892</v>
      </c>
      <c r="Y39" s="1121">
        <v>1463.6722677232206</v>
      </c>
      <c r="Z39" s="1121">
        <v>1398.049294455165</v>
      </c>
      <c r="AA39" s="1121">
        <v>1451.3072908094832</v>
      </c>
      <c r="AB39" s="1121">
        <v>1187.1855356901592</v>
      </c>
      <c r="AC39" s="1133">
        <v>15724.428615499177</v>
      </c>
      <c r="AD39" s="1121">
        <v>1815.5788972679293</v>
      </c>
      <c r="AE39" s="1121">
        <v>1812.2740679934145</v>
      </c>
      <c r="AF39" s="1121">
        <v>2134.5848735792274</v>
      </c>
      <c r="AG39" s="1121">
        <v>2029.0576618696784</v>
      </c>
      <c r="AH39" s="1121">
        <v>2107.302490436979</v>
      </c>
      <c r="AI39" s="1121">
        <v>2347.1540902616271</v>
      </c>
      <c r="AJ39" s="1121">
        <v>2331.8112832600928</v>
      </c>
      <c r="AK39" s="1121">
        <v>2580.7708557788051</v>
      </c>
      <c r="AL39" s="1121">
        <v>2454.1146055091867</v>
      </c>
      <c r="AM39" s="1121">
        <v>2343.5920835895608</v>
      </c>
      <c r="AN39" s="1121">
        <v>2432.3620464101073</v>
      </c>
      <c r="AO39" s="1121">
        <v>1989.2872253009341</v>
      </c>
      <c r="AP39" s="1133">
        <v>26377.890181257539</v>
      </c>
      <c r="AQ39" s="1121">
        <v>2703.6613930834874</v>
      </c>
      <c r="AR39" s="1121">
        <v>2698.1903328811532</v>
      </c>
      <c r="AS39" s="1121">
        <v>3177.4182860443166</v>
      </c>
      <c r="AT39" s="1121">
        <v>3019.7314710304081</v>
      </c>
      <c r="AU39" s="1121">
        <v>3135.555532171807</v>
      </c>
      <c r="AV39" s="1121">
        <v>3491.7536595447777</v>
      </c>
      <c r="AW39" s="1121">
        <v>3468.2505466784978</v>
      </c>
      <c r="AX39" s="1121">
        <v>3837.7993084535428</v>
      </c>
      <c r="AY39" s="1121">
        <v>3648.7497563531851</v>
      </c>
      <c r="AZ39" s="1121">
        <v>3483.7609841442281</v>
      </c>
      <c r="BA39" s="1121">
        <v>3615.0332354260104</v>
      </c>
      <c r="BB39" s="1121">
        <v>2955.9696262745247</v>
      </c>
      <c r="BC39" s="1133">
        <v>39235.874132085934</v>
      </c>
      <c r="BD39" s="1121">
        <v>3765.6945426630955</v>
      </c>
      <c r="BE39" s="1121">
        <v>3757.3793607435164</v>
      </c>
      <c r="BF39" s="1121">
        <v>4423.9188855794255</v>
      </c>
      <c r="BG39" s="1121">
        <v>4203.6060762337456</v>
      </c>
      <c r="BH39" s="1121">
        <v>4364.0499881696287</v>
      </c>
      <c r="BI39" s="1121">
        <v>4858.933510698469</v>
      </c>
      <c r="BJ39" s="1121">
        <v>4825.3693429380719</v>
      </c>
      <c r="BK39" s="1121">
        <v>5338.5791656962629</v>
      </c>
      <c r="BL39" s="1121">
        <v>5074.7122387588443</v>
      </c>
      <c r="BM39" s="1121">
        <v>4844.4021210064184</v>
      </c>
      <c r="BN39" s="1121">
        <v>5026.0776464394694</v>
      </c>
      <c r="BO39" s="1121">
        <v>4109.0601269785211</v>
      </c>
      <c r="BP39" s="1133">
        <v>54591.783005905469</v>
      </c>
    </row>
    <row r="40" spans="2:68" ht="15" thickBot="1">
      <c r="B40" s="302"/>
      <c r="C40" s="327"/>
      <c r="D40" s="922"/>
      <c r="E40" s="923"/>
      <c r="F40" s="923"/>
      <c r="G40" s="923"/>
      <c r="H40" s="923"/>
      <c r="I40" s="923"/>
      <c r="J40" s="923"/>
      <c r="K40" s="923"/>
      <c r="L40" s="923"/>
      <c r="M40" s="923"/>
      <c r="N40" s="923"/>
      <c r="O40" s="924"/>
      <c r="P40" s="925"/>
      <c r="Q40" s="957"/>
      <c r="R40" s="952"/>
      <c r="S40" s="952"/>
      <c r="T40" s="952"/>
      <c r="U40" s="952"/>
      <c r="V40" s="952"/>
      <c r="W40" s="952"/>
      <c r="X40" s="952"/>
      <c r="Y40" s="952"/>
      <c r="Z40" s="952"/>
      <c r="AA40" s="952"/>
      <c r="AB40" s="953"/>
      <c r="AC40" s="954"/>
      <c r="AD40" s="955"/>
      <c r="AE40" s="955"/>
      <c r="AF40" s="955"/>
      <c r="AG40" s="955"/>
      <c r="AH40" s="955"/>
      <c r="AI40" s="955"/>
      <c r="AJ40" s="955"/>
      <c r="AK40" s="955"/>
      <c r="AL40" s="955"/>
      <c r="AM40" s="955"/>
      <c r="AN40" s="955"/>
      <c r="AO40" s="956"/>
      <c r="AP40" s="954"/>
      <c r="AQ40" s="957"/>
      <c r="AR40" s="952"/>
      <c r="AS40" s="952"/>
      <c r="AT40" s="952"/>
      <c r="AU40" s="952"/>
      <c r="AV40" s="952"/>
      <c r="AW40" s="952"/>
      <c r="AX40" s="952"/>
      <c r="AY40" s="952"/>
      <c r="AZ40" s="952"/>
      <c r="BA40" s="952"/>
      <c r="BB40" s="953"/>
      <c r="BC40" s="954"/>
      <c r="BD40" s="957"/>
      <c r="BE40" s="952"/>
      <c r="BF40" s="952"/>
      <c r="BG40" s="952"/>
      <c r="BH40" s="952"/>
      <c r="BI40" s="952"/>
      <c r="BJ40" s="952"/>
      <c r="BK40" s="952"/>
      <c r="BL40" s="952"/>
      <c r="BM40" s="952"/>
      <c r="BN40" s="952"/>
      <c r="BO40" s="953"/>
      <c r="BP40" s="954"/>
    </row>
    <row r="41" spans="2:68">
      <c r="B41" s="304" t="s">
        <v>1165</v>
      </c>
      <c r="C41" s="326"/>
      <c r="D41" s="958">
        <f t="shared" ref="D41:O41" si="4">SUM(D13:D39)</f>
        <v>20401.141582006007</v>
      </c>
      <c r="E41" s="958">
        <f t="shared" si="4"/>
        <v>20401.141582006007</v>
      </c>
      <c r="F41" s="958">
        <f t="shared" si="4"/>
        <v>45503.104113887719</v>
      </c>
      <c r="G41" s="958">
        <f t="shared" si="4"/>
        <v>43348.102145071083</v>
      </c>
      <c r="H41" s="958">
        <f t="shared" si="4"/>
        <v>44734.140803566945</v>
      </c>
      <c r="I41" s="958">
        <f t="shared" si="4"/>
        <v>44079.002263870818</v>
      </c>
      <c r="J41" s="958">
        <f t="shared" si="4"/>
        <v>45887.644185182311</v>
      </c>
      <c r="K41" s="958">
        <f t="shared" si="4"/>
        <v>48893.165765051221</v>
      </c>
      <c r="L41" s="958">
        <f t="shared" si="4"/>
        <v>47732.896041734079</v>
      </c>
      <c r="M41" s="958">
        <f t="shared" si="4"/>
        <v>47908.554596269365</v>
      </c>
      <c r="N41" s="958">
        <f t="shared" si="4"/>
        <v>47076.877530953017</v>
      </c>
      <c r="O41" s="959">
        <f t="shared" si="4"/>
        <v>49107.833944045437</v>
      </c>
      <c r="P41" s="932">
        <v>505073.60455364408</v>
      </c>
      <c r="Q41" s="931">
        <v>78200.716167847539</v>
      </c>
      <c r="R41" s="958">
        <v>75782.402228132036</v>
      </c>
      <c r="S41" s="958">
        <v>80996.577611512825</v>
      </c>
      <c r="T41" s="958">
        <v>76041.670278205449</v>
      </c>
      <c r="U41" s="958">
        <v>78550.319422933797</v>
      </c>
      <c r="V41" s="958">
        <v>76421.919972492062</v>
      </c>
      <c r="W41" s="958">
        <v>76404.23078488899</v>
      </c>
      <c r="X41" s="958">
        <v>81531.460586704052</v>
      </c>
      <c r="Y41" s="958">
        <v>78966.16943634153</v>
      </c>
      <c r="Z41" s="958">
        <v>78834.923489805427</v>
      </c>
      <c r="AA41" s="958">
        <v>76526.574178470881</v>
      </c>
      <c r="AB41" s="959">
        <v>80828.061276318593</v>
      </c>
      <c r="AC41" s="960">
        <v>939085.02543365292</v>
      </c>
      <c r="AD41" s="944">
        <v>148133.96963494833</v>
      </c>
      <c r="AE41" s="959">
        <v>143174.46499077903</v>
      </c>
      <c r="AF41" s="959">
        <v>153619.6428575122</v>
      </c>
      <c r="AG41" s="959">
        <v>143535.77098057279</v>
      </c>
      <c r="AH41" s="959">
        <v>148620.17562356338</v>
      </c>
      <c r="AI41" s="959">
        <v>144065.93169455937</v>
      </c>
      <c r="AJ41" s="959">
        <v>144040.36034955681</v>
      </c>
      <c r="AK41" s="959">
        <v>154363.28616117814</v>
      </c>
      <c r="AL41" s="959">
        <v>149198.19581535039</v>
      </c>
      <c r="AM41" s="959">
        <v>149013.99161215103</v>
      </c>
      <c r="AN41" s="959">
        <v>144207.94495480682</v>
      </c>
      <c r="AO41" s="959">
        <v>153377.48011038173</v>
      </c>
      <c r="AP41" s="943">
        <v>1775351.2147853603</v>
      </c>
      <c r="AQ41" s="944">
        <v>169841.74929582782</v>
      </c>
      <c r="AR41" s="959">
        <v>164626.11448391411</v>
      </c>
      <c r="AS41" s="959">
        <v>175681.7652180861</v>
      </c>
      <c r="AT41" s="959">
        <v>165054.83600144647</v>
      </c>
      <c r="AU41" s="959">
        <v>170417.60814794558</v>
      </c>
      <c r="AV41" s="959">
        <v>165684.19891946559</v>
      </c>
      <c r="AW41" s="959">
        <v>165652.86143564389</v>
      </c>
      <c r="AX41" s="959">
        <v>176562.27324796506</v>
      </c>
      <c r="AY41" s="959">
        <v>171101.86711352074</v>
      </c>
      <c r="AZ41" s="959">
        <v>170881.8820839088</v>
      </c>
      <c r="BA41" s="959">
        <v>165848.57168730724</v>
      </c>
      <c r="BB41" s="959">
        <v>175386.50033839303</v>
      </c>
      <c r="BC41" s="932">
        <v>2036740.2279734237</v>
      </c>
      <c r="BD41" s="944">
        <v>252116.45756707047</v>
      </c>
      <c r="BE41" s="959">
        <v>244133.54259610875</v>
      </c>
      <c r="BF41" s="959">
        <v>260965.91808602787</v>
      </c>
      <c r="BG41" s="959">
        <v>244728.51155009575</v>
      </c>
      <c r="BH41" s="959">
        <v>252914.26482774585</v>
      </c>
      <c r="BI41" s="959">
        <v>245602.28146271536</v>
      </c>
      <c r="BJ41" s="959">
        <v>245557.52923903483</v>
      </c>
      <c r="BK41" s="959">
        <v>262185.4651261837</v>
      </c>
      <c r="BL41" s="959">
        <v>253861.81449519814</v>
      </c>
      <c r="BM41" s="959">
        <v>253554.73433819492</v>
      </c>
      <c r="BN41" s="959">
        <v>245825.14031037001</v>
      </c>
      <c r="BO41" s="959">
        <v>260546.10640789336</v>
      </c>
      <c r="BP41" s="943">
        <v>3021991.7660066383</v>
      </c>
    </row>
    <row r="42" spans="2:68">
      <c r="B42" s="303" t="s">
        <v>1166</v>
      </c>
      <c r="C42" s="279"/>
      <c r="D42" s="961">
        <f t="shared" ref="D42:O42" si="5">D11-D41</f>
        <v>-20401.141582006007</v>
      </c>
      <c r="E42" s="961">
        <f t="shared" si="5"/>
        <v>-20401.141582006007</v>
      </c>
      <c r="F42" s="961">
        <f t="shared" si="5"/>
        <v>-45503.104113887719</v>
      </c>
      <c r="G42" s="961">
        <f t="shared" si="5"/>
        <v>-41460.120313775231</v>
      </c>
      <c r="H42" s="961">
        <f t="shared" si="5"/>
        <v>-40152.930122212783</v>
      </c>
      <c r="I42" s="961">
        <f t="shared" si="5"/>
        <v>-36721.801349385074</v>
      </c>
      <c r="J42" s="961">
        <f t="shared" si="5"/>
        <v>-32908.134664544785</v>
      </c>
      <c r="K42" s="961">
        <f t="shared" si="5"/>
        <v>-29213.326463964528</v>
      </c>
      <c r="L42" s="961">
        <f t="shared" si="5"/>
        <v>-20353.467401714115</v>
      </c>
      <c r="M42" s="961">
        <f t="shared" si="5"/>
        <v>-15569.166814829019</v>
      </c>
      <c r="N42" s="961">
        <f t="shared" si="5"/>
        <v>-13077.135908087555</v>
      </c>
      <c r="O42" s="962">
        <f t="shared" si="5"/>
        <v>-10920.102648979497</v>
      </c>
      <c r="P42" s="943">
        <v>-326681.57296539238</v>
      </c>
      <c r="Q42" s="971">
        <v>-40022.045029635803</v>
      </c>
      <c r="R42" s="963">
        <v>-22084.460632543465</v>
      </c>
      <c r="S42" s="963">
        <v>-8991.0126409702789</v>
      </c>
      <c r="T42" s="963">
        <v>2313.8303527053358</v>
      </c>
      <c r="U42" s="963">
        <v>4126.3153758675762</v>
      </c>
      <c r="V42" s="963">
        <v>5731.5000840451539</v>
      </c>
      <c r="W42" s="963">
        <v>12086.684176424809</v>
      </c>
      <c r="X42" s="963">
        <v>11439.065474582458</v>
      </c>
      <c r="Y42" s="963">
        <v>18667.856727039194</v>
      </c>
      <c r="Z42" s="963">
        <v>21250.32513039824</v>
      </c>
      <c r="AA42" s="963">
        <v>18864.144560808636</v>
      </c>
      <c r="AB42" s="962">
        <v>14150.491565836361</v>
      </c>
      <c r="AC42" s="943">
        <v>37532.695144558675</v>
      </c>
      <c r="AD42" s="945">
        <v>-60184.208751626909</v>
      </c>
      <c r="AE42" s="962">
        <v>-43082.317225509425</v>
      </c>
      <c r="AF42" s="962">
        <v>-32691.210682134086</v>
      </c>
      <c r="AG42" s="962">
        <v>-11973.806261484744</v>
      </c>
      <c r="AH42" s="962">
        <v>-9832.0911085998814</v>
      </c>
      <c r="AI42" s="962">
        <v>-6187.2599510041473</v>
      </c>
      <c r="AJ42" s="962">
        <v>4441.5256737300369</v>
      </c>
      <c r="AK42" s="962">
        <v>1602.2262895458261</v>
      </c>
      <c r="AL42" s="962">
        <v>14554.542152612848</v>
      </c>
      <c r="AM42" s="962">
        <v>18815.523764115351</v>
      </c>
      <c r="AN42" s="962">
        <v>15715.611348484759</v>
      </c>
      <c r="AO42" s="962">
        <v>5820.990889607172</v>
      </c>
      <c r="AP42" s="943">
        <v>-103000.47386226337</v>
      </c>
      <c r="AQ42" s="945">
        <v>-22453.440238793119</v>
      </c>
      <c r="AR42" s="962">
        <v>-8194.4938711000432</v>
      </c>
      <c r="AS42" s="962">
        <v>4379.958980735275</v>
      </c>
      <c r="AT42" s="962">
        <v>30798.784629402537</v>
      </c>
      <c r="AU42" s="962">
        <v>36154.050421211898</v>
      </c>
      <c r="AV42" s="962">
        <v>39492.034520608257</v>
      </c>
      <c r="AW42" s="962">
        <v>55257.444954908948</v>
      </c>
      <c r="AX42" s="962">
        <v>55437.866959477484</v>
      </c>
      <c r="AY42" s="962">
        <v>72433.128057547321</v>
      </c>
      <c r="AZ42" s="962">
        <v>78669.753409648809</v>
      </c>
      <c r="BA42" s="962">
        <v>71901.786329273222</v>
      </c>
      <c r="BB42" s="962">
        <v>61239.973647281586</v>
      </c>
      <c r="BC42" s="943">
        <v>475116.8478002029</v>
      </c>
      <c r="BD42" s="945">
        <v>-33083.028843719279</v>
      </c>
      <c r="BE42" s="962">
        <v>-20078.070298188046</v>
      </c>
      <c r="BF42" s="962">
        <v>-10196.787972474121</v>
      </c>
      <c r="BG42" s="962">
        <v>27981.429994002334</v>
      </c>
      <c r="BH42" s="962">
        <v>34669.900566026568</v>
      </c>
      <c r="BI42" s="962">
        <v>39986.254017397121</v>
      </c>
      <c r="BJ42" s="962">
        <v>61875.254056568403</v>
      </c>
      <c r="BK42" s="962">
        <v>60624.629995034367</v>
      </c>
      <c r="BL42" s="962">
        <v>84936.469125946402</v>
      </c>
      <c r="BM42" s="962">
        <v>93554.979143642035</v>
      </c>
      <c r="BN42" s="962">
        <v>84812.00501513877</v>
      </c>
      <c r="BO42" s="962">
        <v>68469.885840302974</v>
      </c>
      <c r="BP42" s="943">
        <v>493552.9206396779</v>
      </c>
    </row>
    <row r="43" spans="2:68" ht="15" thickBot="1">
      <c r="B43" s="325" t="s">
        <v>1167</v>
      </c>
      <c r="C43" s="280"/>
      <c r="D43" s="936">
        <f>D42</f>
        <v>-20401.141582006007</v>
      </c>
      <c r="E43" s="919">
        <f>D43+E42</f>
        <v>-40802.283164012013</v>
      </c>
      <c r="F43" s="919">
        <f t="shared" ref="F43:O43" si="6">E43+F42</f>
        <v>-86305.387277899732</v>
      </c>
      <c r="G43" s="919">
        <f t="shared" si="6"/>
        <v>-127765.50759167496</v>
      </c>
      <c r="H43" s="919">
        <f t="shared" si="6"/>
        <v>-167918.43771388775</v>
      </c>
      <c r="I43" s="919">
        <f t="shared" si="6"/>
        <v>-204640.23906327283</v>
      </c>
      <c r="J43" s="919">
        <f t="shared" si="6"/>
        <v>-237548.37372781761</v>
      </c>
      <c r="K43" s="919">
        <f t="shared" si="6"/>
        <v>-266761.70019178215</v>
      </c>
      <c r="L43" s="919">
        <f t="shared" si="6"/>
        <v>-287115.16759349627</v>
      </c>
      <c r="M43" s="919">
        <f t="shared" si="6"/>
        <v>-302684.33440832526</v>
      </c>
      <c r="N43" s="919">
        <f t="shared" si="6"/>
        <v>-315761.4703164128</v>
      </c>
      <c r="O43" s="940">
        <f t="shared" si="6"/>
        <v>-326681.57296539232</v>
      </c>
      <c r="P43" s="935">
        <v>-326681.57296539238</v>
      </c>
      <c r="Q43" s="972">
        <v>-366703.61799502815</v>
      </c>
      <c r="R43" s="964">
        <v>-388788.07862757164</v>
      </c>
      <c r="S43" s="964">
        <v>-397779.09126854193</v>
      </c>
      <c r="T43" s="964">
        <v>-395465.26091583661</v>
      </c>
      <c r="U43" s="964">
        <v>-391338.94553996902</v>
      </c>
      <c r="V43" s="964">
        <v>-385607.44545592385</v>
      </c>
      <c r="W43" s="964">
        <v>-373520.76127949904</v>
      </c>
      <c r="X43" s="964">
        <v>-362081.69580491656</v>
      </c>
      <c r="Y43" s="964">
        <v>-343413.83907787735</v>
      </c>
      <c r="Z43" s="964">
        <v>-322163.51394747908</v>
      </c>
      <c r="AA43" s="964">
        <v>-303299.36938667041</v>
      </c>
      <c r="AB43" s="940">
        <v>-289148.87782083405</v>
      </c>
      <c r="AC43" s="935">
        <v>-289148.8778208337</v>
      </c>
      <c r="AD43" s="951">
        <v>-349333.0865724606</v>
      </c>
      <c r="AE43" s="940">
        <v>-392415.40379797004</v>
      </c>
      <c r="AF43" s="940">
        <v>-425106.61448010412</v>
      </c>
      <c r="AG43" s="940">
        <v>-437080.42074158887</v>
      </c>
      <c r="AH43" s="940">
        <v>-446912.51185018872</v>
      </c>
      <c r="AI43" s="940">
        <v>-453099.7718011929</v>
      </c>
      <c r="AJ43" s="940">
        <v>-448658.24612746283</v>
      </c>
      <c r="AK43" s="940">
        <v>-447056.019837917</v>
      </c>
      <c r="AL43" s="940">
        <v>-432501.47768530413</v>
      </c>
      <c r="AM43" s="940">
        <v>-413685.95392118877</v>
      </c>
      <c r="AN43" s="940">
        <v>-397970.34257270402</v>
      </c>
      <c r="AO43" s="940">
        <v>-392149.35168309684</v>
      </c>
      <c r="AP43" s="935">
        <v>-392149.35168309708</v>
      </c>
      <c r="AQ43" s="951">
        <v>-414602.79192189022</v>
      </c>
      <c r="AR43" s="940">
        <v>-422797.28579299024</v>
      </c>
      <c r="AS43" s="940">
        <v>-418417.32681225496</v>
      </c>
      <c r="AT43" s="940">
        <v>-387618.5421828524</v>
      </c>
      <c r="AU43" s="940">
        <v>-351464.49176164053</v>
      </c>
      <c r="AV43" s="940">
        <v>-311972.45724103227</v>
      </c>
      <c r="AW43" s="940">
        <v>-256715.01228612332</v>
      </c>
      <c r="AX43" s="940">
        <v>-201277.14532664584</v>
      </c>
      <c r="AY43" s="940">
        <v>-128844.01726909852</v>
      </c>
      <c r="AZ43" s="940">
        <v>-50174.263859449711</v>
      </c>
      <c r="BA43" s="940">
        <v>21727.522469823511</v>
      </c>
      <c r="BB43" s="940">
        <v>82967.496117105096</v>
      </c>
      <c r="BC43" s="935">
        <v>82967.496117105824</v>
      </c>
      <c r="BD43" s="951">
        <v>49884.467273386545</v>
      </c>
      <c r="BE43" s="940">
        <v>29806.396975198499</v>
      </c>
      <c r="BF43" s="940">
        <v>19609.609002724377</v>
      </c>
      <c r="BG43" s="940">
        <v>47591.038996726711</v>
      </c>
      <c r="BH43" s="940">
        <v>82260.939562753279</v>
      </c>
      <c r="BI43" s="940">
        <v>122247.1935801504</v>
      </c>
      <c r="BJ43" s="940">
        <v>184122.4476367188</v>
      </c>
      <c r="BK43" s="940">
        <v>244747.07763175317</v>
      </c>
      <c r="BL43" s="940">
        <v>329683.54675769957</v>
      </c>
      <c r="BM43" s="940">
        <v>423238.52590134158</v>
      </c>
      <c r="BN43" s="940">
        <v>508050.53091648035</v>
      </c>
      <c r="BO43" s="940">
        <v>576520.41675678338</v>
      </c>
      <c r="BP43" s="935">
        <v>576520.41675678373</v>
      </c>
    </row>
    <row r="44" spans="2:68" ht="15" thickBot="1"/>
    <row r="45" spans="2:68" ht="15" thickBot="1">
      <c r="B45" s="484" t="s">
        <v>1168</v>
      </c>
      <c r="C45" s="336">
        <v>-453099.7718011929</v>
      </c>
    </row>
    <row r="46" spans="2:68" ht="15" thickBot="1"/>
    <row r="47" spans="2:68">
      <c r="B47" s="485" t="s">
        <v>1169</v>
      </c>
      <c r="C47" s="524" t="s">
        <v>1170</v>
      </c>
    </row>
    <row r="48" spans="2:68">
      <c r="B48" s="332" t="s">
        <v>1171</v>
      </c>
      <c r="C48" s="333">
        <v>-686927.76456927275</v>
      </c>
    </row>
    <row r="49" spans="2:3">
      <c r="B49" s="332">
        <v>1</v>
      </c>
      <c r="C49" s="333">
        <v>-326681.57296539238</v>
      </c>
    </row>
    <row r="50" spans="2:3">
      <c r="B50" s="332">
        <v>2</v>
      </c>
      <c r="C50" s="333">
        <v>37532.695144558675</v>
      </c>
    </row>
    <row r="51" spans="2:3">
      <c r="B51" s="332">
        <v>3</v>
      </c>
      <c r="C51" s="333">
        <v>-103000.47386226337</v>
      </c>
    </row>
    <row r="52" spans="2:3">
      <c r="B52" s="332">
        <v>4</v>
      </c>
      <c r="C52" s="333">
        <v>475116.8478002029</v>
      </c>
    </row>
    <row r="53" spans="2:3" ht="15" thickBot="1">
      <c r="B53" s="334">
        <v>5</v>
      </c>
      <c r="C53" s="335">
        <v>493552.9206396779</v>
      </c>
    </row>
    <row r="54" spans="2:3" ht="15" thickBot="1">
      <c r="B54" s="493"/>
      <c r="C54" s="494"/>
    </row>
    <row r="55" spans="2:3" ht="28.9">
      <c r="B55" s="485" t="s">
        <v>1172</v>
      </c>
      <c r="C55" s="1103">
        <v>0.125</v>
      </c>
    </row>
    <row r="56" spans="2:3">
      <c r="B56" s="483" t="s">
        <v>1173</v>
      </c>
      <c r="C56" s="981">
        <v>-449496.53031181073</v>
      </c>
    </row>
    <row r="57" spans="2:3" ht="15" thickBot="1">
      <c r="B57" s="486" t="s">
        <v>1174</v>
      </c>
      <c r="C57" s="982">
        <v>-2.6735637228147091E-2</v>
      </c>
    </row>
  </sheetData>
  <mergeCells count="14">
    <mergeCell ref="B24:B29"/>
    <mergeCell ref="B30:B34"/>
    <mergeCell ref="B36:B39"/>
    <mergeCell ref="BR4:BX5"/>
    <mergeCell ref="BR22:BX22"/>
    <mergeCell ref="B4:B6"/>
    <mergeCell ref="D4:BP5"/>
    <mergeCell ref="D6:P6"/>
    <mergeCell ref="Q6:AC6"/>
    <mergeCell ref="AD6:AP6"/>
    <mergeCell ref="AQ6:BC6"/>
    <mergeCell ref="BD6:BP6"/>
    <mergeCell ref="B15:B16"/>
    <mergeCell ref="B17:B22"/>
  </mergeCells>
  <hyperlinks>
    <hyperlink ref="C2" location="Indice!A1" display="INDICE" xr:uid="{00000000-0004-0000-2300-000000000000}"/>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B2:V88"/>
  <sheetViews>
    <sheetView showGridLines="0" zoomScale="55" zoomScaleNormal="55" workbookViewId="0">
      <selection activeCell="AA37" sqref="AA37"/>
    </sheetView>
  </sheetViews>
  <sheetFormatPr defaultColWidth="11.5703125" defaultRowHeight="14.45"/>
  <cols>
    <col min="1" max="1" width="5" customWidth="1"/>
    <col min="4" max="4" width="14.5703125" customWidth="1"/>
  </cols>
  <sheetData>
    <row r="2" spans="2:22">
      <c r="B2" s="1384" t="s">
        <v>48</v>
      </c>
      <c r="C2" s="1384"/>
      <c r="D2" s="337" t="s">
        <v>49</v>
      </c>
    </row>
    <row r="3" spans="2:22" ht="15" thickBot="1"/>
    <row r="4" spans="2:22" ht="34.15" customHeight="1" thickBot="1">
      <c r="B4" s="1314" t="s">
        <v>50</v>
      </c>
      <c r="C4" s="1315" t="s">
        <v>51</v>
      </c>
      <c r="D4" s="89" t="s">
        <v>68</v>
      </c>
      <c r="O4" s="1391" t="s">
        <v>69</v>
      </c>
      <c r="P4" s="1392"/>
      <c r="Q4" s="1392"/>
      <c r="R4" s="1392"/>
      <c r="S4" s="1392"/>
      <c r="T4" s="1392"/>
      <c r="U4" s="1392"/>
      <c r="V4" s="1393"/>
    </row>
    <row r="5" spans="2:22" ht="58.15" thickBot="1">
      <c r="B5" s="1386">
        <v>2017</v>
      </c>
      <c r="C5" s="11" t="s">
        <v>53</v>
      </c>
      <c r="D5" s="35">
        <v>200.13710990214167</v>
      </c>
      <c r="O5" s="90" t="s">
        <v>50</v>
      </c>
      <c r="P5" s="91" t="s">
        <v>51</v>
      </c>
      <c r="Q5" s="91" t="s">
        <v>70</v>
      </c>
      <c r="R5" s="92" t="s">
        <v>71</v>
      </c>
      <c r="S5" s="91" t="s">
        <v>72</v>
      </c>
      <c r="T5" s="91" t="s">
        <v>73</v>
      </c>
      <c r="U5" s="91" t="s">
        <v>74</v>
      </c>
      <c r="V5" s="93" t="s">
        <v>75</v>
      </c>
    </row>
    <row r="6" spans="2:22">
      <c r="B6" s="1387"/>
      <c r="C6" s="1" t="s">
        <v>54</v>
      </c>
      <c r="D6" s="36">
        <v>208.41555040411723</v>
      </c>
      <c r="O6" s="1386">
        <v>2017</v>
      </c>
      <c r="P6" s="11" t="s">
        <v>53</v>
      </c>
      <c r="Q6" s="59">
        <f>1</f>
        <v>1</v>
      </c>
      <c r="R6" s="60">
        <v>200.13710990214167</v>
      </c>
      <c r="S6" s="20">
        <f>(R6+R18+R30)/3/$R$42</f>
        <v>0.89729134759745099</v>
      </c>
      <c r="T6" s="20">
        <f>R6/S6</f>
        <v>223.04584841703897</v>
      </c>
      <c r="U6" s="1358">
        <f>POWER(Q6,2)</f>
        <v>1</v>
      </c>
      <c r="V6" s="61">
        <f>Q6*T6</f>
        <v>223.04584841703897</v>
      </c>
    </row>
    <row r="7" spans="2:22">
      <c r="B7" s="1387"/>
      <c r="C7" s="1" t="s">
        <v>55</v>
      </c>
      <c r="D7" s="36">
        <v>272.39107591770005</v>
      </c>
      <c r="O7" s="1387"/>
      <c r="P7" s="1" t="s">
        <v>54</v>
      </c>
      <c r="Q7" s="58">
        <f>Q6+1</f>
        <v>2</v>
      </c>
      <c r="R7" s="57">
        <v>208.41555040411723</v>
      </c>
      <c r="S7" s="14">
        <f t="shared" ref="S7:S17" si="0">(R7+R19+R31)/3/$R$42</f>
        <v>0.95261407489408878</v>
      </c>
      <c r="T7" s="14">
        <f t="shared" ref="T7:T41" si="1">R7/S7</f>
        <v>218.78277457457133</v>
      </c>
      <c r="U7" s="1360">
        <f t="shared" ref="U7:U41" si="2">POWER(Q7,2)</f>
        <v>4</v>
      </c>
      <c r="V7" s="26">
        <f t="shared" ref="V7:V41" si="3">Q7*T7</f>
        <v>437.56554914914267</v>
      </c>
    </row>
    <row r="8" spans="2:22">
      <c r="B8" s="1387"/>
      <c r="C8" s="1" t="s">
        <v>56</v>
      </c>
      <c r="D8" s="36">
        <v>226.970831216194</v>
      </c>
      <c r="O8" s="1387"/>
      <c r="P8" s="1" t="s">
        <v>55</v>
      </c>
      <c r="Q8" s="58">
        <f t="shared" ref="Q8:Q41" si="4">Q7+1</f>
        <v>3</v>
      </c>
      <c r="R8" s="57">
        <v>272.39107591770005</v>
      </c>
      <c r="S8" s="14">
        <f t="shared" si="0"/>
        <v>1.1053132407115231</v>
      </c>
      <c r="T8" s="14">
        <f t="shared" si="1"/>
        <v>246.43790184070696</v>
      </c>
      <c r="U8" s="1360">
        <f t="shared" si="2"/>
        <v>9</v>
      </c>
      <c r="V8" s="26">
        <f t="shared" si="3"/>
        <v>739.31370552212093</v>
      </c>
    </row>
    <row r="9" spans="2:22">
      <c r="B9" s="1387"/>
      <c r="C9" s="1" t="s">
        <v>57</v>
      </c>
      <c r="D9" s="36">
        <v>260.29625811264503</v>
      </c>
      <c r="O9" s="1387"/>
      <c r="P9" s="1" t="s">
        <v>56</v>
      </c>
      <c r="Q9" s="58">
        <f t="shared" si="4"/>
        <v>4</v>
      </c>
      <c r="R9" s="57">
        <v>226.970831216194</v>
      </c>
      <c r="S9" s="14">
        <f t="shared" si="0"/>
        <v>0.93863089495102248</v>
      </c>
      <c r="T9" s="14">
        <f t="shared" si="1"/>
        <v>241.81052683977259</v>
      </c>
      <c r="U9" s="1360">
        <f t="shared" si="2"/>
        <v>16</v>
      </c>
      <c r="V9" s="26">
        <f t="shared" si="3"/>
        <v>967.24210735909037</v>
      </c>
    </row>
    <row r="10" spans="2:22">
      <c r="B10" s="1387"/>
      <c r="C10" s="1" t="s">
        <v>58</v>
      </c>
      <c r="D10" s="36">
        <v>285.25197064348947</v>
      </c>
      <c r="O10" s="1387"/>
      <c r="P10" s="1" t="s">
        <v>57</v>
      </c>
      <c r="Q10" s="58">
        <f t="shared" si="4"/>
        <v>5</v>
      </c>
      <c r="R10" s="57">
        <v>260.29625811264503</v>
      </c>
      <c r="S10" s="14">
        <f t="shared" si="0"/>
        <v>1.012684344114031</v>
      </c>
      <c r="T10" s="14">
        <f t="shared" si="1"/>
        <v>257.03592597787309</v>
      </c>
      <c r="U10" s="1360">
        <f t="shared" si="2"/>
        <v>25</v>
      </c>
      <c r="V10" s="26">
        <f t="shared" si="3"/>
        <v>1285.1796298893655</v>
      </c>
    </row>
    <row r="11" spans="2:22">
      <c r="B11" s="1387"/>
      <c r="C11" s="1" t="s">
        <v>59</v>
      </c>
      <c r="D11" s="36">
        <v>253.09819893111256</v>
      </c>
      <c r="O11" s="1387"/>
      <c r="P11" s="1" t="s">
        <v>58</v>
      </c>
      <c r="Q11" s="58">
        <f t="shared" si="4"/>
        <v>6</v>
      </c>
      <c r="R11" s="57">
        <v>285.25197064348947</v>
      </c>
      <c r="S11" s="14">
        <f t="shared" si="0"/>
        <v>0.99236754967097263</v>
      </c>
      <c r="T11" s="14">
        <f t="shared" si="1"/>
        <v>287.44588709905622</v>
      </c>
      <c r="U11" s="1360">
        <f t="shared" si="2"/>
        <v>36</v>
      </c>
      <c r="V11" s="26">
        <f t="shared" si="3"/>
        <v>1724.6753225943373</v>
      </c>
    </row>
    <row r="12" spans="2:22">
      <c r="B12" s="1387"/>
      <c r="C12" s="1" t="s">
        <v>60</v>
      </c>
      <c r="D12" s="36">
        <v>281.57378276503425</v>
      </c>
      <c r="O12" s="1387"/>
      <c r="P12" s="1" t="s">
        <v>59</v>
      </c>
      <c r="Q12" s="58">
        <f t="shared" si="4"/>
        <v>7</v>
      </c>
      <c r="R12" s="57">
        <v>253.09819893111256</v>
      </c>
      <c r="S12" s="14">
        <f t="shared" si="0"/>
        <v>1.0041163817444161</v>
      </c>
      <c r="T12" s="14">
        <f t="shared" si="1"/>
        <v>252.06062119155348</v>
      </c>
      <c r="U12" s="1360">
        <f t="shared" si="2"/>
        <v>49</v>
      </c>
      <c r="V12" s="26">
        <f t="shared" si="3"/>
        <v>1764.4243483408743</v>
      </c>
    </row>
    <row r="13" spans="2:22">
      <c r="B13" s="1387"/>
      <c r="C13" s="1" t="s">
        <v>61</v>
      </c>
      <c r="D13" s="36">
        <v>293.85689454053067</v>
      </c>
      <c r="O13" s="1387"/>
      <c r="P13" s="1" t="s">
        <v>60</v>
      </c>
      <c r="Q13" s="58">
        <f t="shared" si="4"/>
        <v>8</v>
      </c>
      <c r="R13" s="57">
        <v>281.57378276503425</v>
      </c>
      <c r="S13" s="14">
        <f t="shared" si="0"/>
        <v>1.1319859486103705</v>
      </c>
      <c r="T13" s="14">
        <f t="shared" si="1"/>
        <v>248.74317840313753</v>
      </c>
      <c r="U13" s="1360">
        <f t="shared" si="2"/>
        <v>64</v>
      </c>
      <c r="V13" s="26">
        <f t="shared" si="3"/>
        <v>1989.9454272251003</v>
      </c>
    </row>
    <row r="14" spans="2:22">
      <c r="B14" s="1387"/>
      <c r="C14" s="1" t="s">
        <v>62</v>
      </c>
      <c r="D14" s="36">
        <v>298.78749001300878</v>
      </c>
      <c r="O14" s="1387"/>
      <c r="P14" s="1" t="s">
        <v>61</v>
      </c>
      <c r="Q14" s="58">
        <f t="shared" si="4"/>
        <v>9</v>
      </c>
      <c r="R14" s="57">
        <v>293.85689454053067</v>
      </c>
      <c r="S14" s="14">
        <f t="shared" si="0"/>
        <v>1.0454860033866507</v>
      </c>
      <c r="T14" s="14">
        <f t="shared" si="1"/>
        <v>281.07205030831386</v>
      </c>
      <c r="U14" s="1360">
        <f t="shared" si="2"/>
        <v>81</v>
      </c>
      <c r="V14" s="26">
        <f t="shared" si="3"/>
        <v>2529.6484527748248</v>
      </c>
    </row>
    <row r="15" spans="2:22">
      <c r="B15" s="1387"/>
      <c r="C15" s="1" t="s">
        <v>63</v>
      </c>
      <c r="D15" s="36">
        <v>317.00151638199776</v>
      </c>
      <c r="O15" s="1387"/>
      <c r="P15" s="1" t="s">
        <v>62</v>
      </c>
      <c r="Q15" s="58">
        <f t="shared" si="4"/>
        <v>10</v>
      </c>
      <c r="R15" s="57">
        <v>298.78749001300878</v>
      </c>
      <c r="S15" s="14">
        <f t="shared" si="0"/>
        <v>1.0626479573786491</v>
      </c>
      <c r="T15" s="14">
        <f t="shared" si="1"/>
        <v>281.17260089603036</v>
      </c>
      <c r="U15" s="1360">
        <f t="shared" si="2"/>
        <v>100</v>
      </c>
      <c r="V15" s="26">
        <f t="shared" si="3"/>
        <v>2811.7260089603037</v>
      </c>
    </row>
    <row r="16" spans="2:22" ht="15" thickBot="1">
      <c r="B16" s="1388"/>
      <c r="C16" s="2" t="s">
        <v>64</v>
      </c>
      <c r="D16" s="37">
        <v>245.15894692925895</v>
      </c>
      <c r="O16" s="1387"/>
      <c r="P16" s="1" t="s">
        <v>63</v>
      </c>
      <c r="Q16" s="58">
        <f t="shared" si="4"/>
        <v>11</v>
      </c>
      <c r="R16" s="57">
        <v>317.00151638199776</v>
      </c>
      <c r="S16" s="14">
        <f t="shared" si="0"/>
        <v>1.0483130777859193</v>
      </c>
      <c r="T16" s="14">
        <f t="shared" si="1"/>
        <v>302.39202686617068</v>
      </c>
      <c r="U16" s="1360">
        <f t="shared" si="2"/>
        <v>121</v>
      </c>
      <c r="V16" s="26">
        <f t="shared" si="3"/>
        <v>3326.3122955278777</v>
      </c>
    </row>
    <row r="17" spans="2:22" ht="15" thickBot="1">
      <c r="B17" s="1386">
        <v>2018</v>
      </c>
      <c r="C17" s="11" t="s">
        <v>53</v>
      </c>
      <c r="D17" s="35">
        <v>252.26925535606165</v>
      </c>
      <c r="O17" s="1388"/>
      <c r="P17" s="2" t="s">
        <v>64</v>
      </c>
      <c r="Q17" s="1331">
        <f t="shared" si="4"/>
        <v>12</v>
      </c>
      <c r="R17" s="62">
        <v>245.15894692925895</v>
      </c>
      <c r="S17" s="16">
        <f t="shared" si="0"/>
        <v>0.80854917915490099</v>
      </c>
      <c r="T17" s="16">
        <f t="shared" si="1"/>
        <v>303.20845441399138</v>
      </c>
      <c r="U17" s="1367">
        <f t="shared" si="2"/>
        <v>144</v>
      </c>
      <c r="V17" s="27">
        <f t="shared" si="3"/>
        <v>3638.5014529678965</v>
      </c>
    </row>
    <row r="18" spans="2:22">
      <c r="B18" s="1387"/>
      <c r="C18" s="1" t="s">
        <v>54</v>
      </c>
      <c r="D18" s="36">
        <v>252.55184437261482</v>
      </c>
      <c r="O18" s="1386">
        <v>2018</v>
      </c>
      <c r="P18" s="11" t="s">
        <v>53</v>
      </c>
      <c r="Q18" s="59">
        <f t="shared" si="4"/>
        <v>13</v>
      </c>
      <c r="R18" s="60">
        <v>252.26925535606165</v>
      </c>
      <c r="S18" s="20">
        <f t="shared" ref="S18:S29" si="5">S6</f>
        <v>0.89729134759745099</v>
      </c>
      <c r="T18" s="20">
        <f t="shared" si="1"/>
        <v>281.14531142145415</v>
      </c>
      <c r="U18" s="1358">
        <f t="shared" si="2"/>
        <v>169</v>
      </c>
      <c r="V18" s="61">
        <f t="shared" si="3"/>
        <v>3654.889048478904</v>
      </c>
    </row>
    <row r="19" spans="2:22">
      <c r="B19" s="1387"/>
      <c r="C19" s="1" t="s">
        <v>55</v>
      </c>
      <c r="D19" s="36">
        <v>305.80970220966941</v>
      </c>
      <c r="O19" s="1387"/>
      <c r="P19" s="1" t="s">
        <v>54</v>
      </c>
      <c r="Q19" s="58">
        <f t="shared" si="4"/>
        <v>14</v>
      </c>
      <c r="R19" s="57">
        <v>252.55184437261482</v>
      </c>
      <c r="S19" s="14">
        <f t="shared" si="5"/>
        <v>0.95261407489408878</v>
      </c>
      <c r="T19" s="14">
        <f t="shared" si="1"/>
        <v>265.11454221447804</v>
      </c>
      <c r="U19" s="1360">
        <f t="shared" si="2"/>
        <v>196</v>
      </c>
      <c r="V19" s="26">
        <f t="shared" si="3"/>
        <v>3711.6035910026926</v>
      </c>
    </row>
    <row r="20" spans="2:22">
      <c r="B20" s="1387"/>
      <c r="C20" s="1" t="s">
        <v>56</v>
      </c>
      <c r="D20" s="36">
        <v>252.80872014776517</v>
      </c>
      <c r="O20" s="1387"/>
      <c r="P20" s="1" t="s">
        <v>55</v>
      </c>
      <c r="Q20" s="58">
        <f t="shared" si="4"/>
        <v>15</v>
      </c>
      <c r="R20" s="57">
        <v>305.80970220966941</v>
      </c>
      <c r="S20" s="14">
        <f t="shared" si="5"/>
        <v>1.1053132407115231</v>
      </c>
      <c r="T20" s="14">
        <f t="shared" si="1"/>
        <v>276.67243180115219</v>
      </c>
      <c r="U20" s="1360">
        <f t="shared" si="2"/>
        <v>225</v>
      </c>
      <c r="V20" s="26">
        <f t="shared" si="3"/>
        <v>4150.086477017283</v>
      </c>
    </row>
    <row r="21" spans="2:22">
      <c r="B21" s="1387"/>
      <c r="C21" s="1" t="s">
        <v>57</v>
      </c>
      <c r="D21" s="36">
        <v>247.66554871872253</v>
      </c>
      <c r="O21" s="1387"/>
      <c r="P21" s="1" t="s">
        <v>56</v>
      </c>
      <c r="Q21" s="58">
        <f t="shared" si="4"/>
        <v>16</v>
      </c>
      <c r="R21" s="57">
        <v>252.80872014776517</v>
      </c>
      <c r="S21" s="14">
        <f t="shared" si="5"/>
        <v>0.93863089495102248</v>
      </c>
      <c r="T21" s="14">
        <f t="shared" si="1"/>
        <v>269.33773595951862</v>
      </c>
      <c r="U21" s="1360">
        <f t="shared" si="2"/>
        <v>256</v>
      </c>
      <c r="V21" s="26">
        <f t="shared" si="3"/>
        <v>4309.403775352298</v>
      </c>
    </row>
    <row r="22" spans="2:22">
      <c r="B22" s="1387"/>
      <c r="C22" s="1" t="s">
        <v>58</v>
      </c>
      <c r="D22" s="36">
        <v>274.13010043606715</v>
      </c>
      <c r="O22" s="1387"/>
      <c r="P22" s="1" t="s">
        <v>57</v>
      </c>
      <c r="Q22" s="58">
        <f t="shared" si="4"/>
        <v>17</v>
      </c>
      <c r="R22" s="57">
        <v>247.66554871872253</v>
      </c>
      <c r="S22" s="14">
        <f t="shared" si="5"/>
        <v>1.012684344114031</v>
      </c>
      <c r="T22" s="14">
        <f t="shared" si="1"/>
        <v>244.56342211491199</v>
      </c>
      <c r="U22" s="1360">
        <f t="shared" si="2"/>
        <v>289</v>
      </c>
      <c r="V22" s="26">
        <f t="shared" si="3"/>
        <v>4157.5781759535039</v>
      </c>
    </row>
    <row r="23" spans="2:22">
      <c r="B23" s="1387"/>
      <c r="C23" s="1" t="s">
        <v>59</v>
      </c>
      <c r="D23" s="36">
        <v>274.95721792679575</v>
      </c>
      <c r="O23" s="1387"/>
      <c r="P23" s="1" t="s">
        <v>58</v>
      </c>
      <c r="Q23" s="58">
        <f t="shared" si="4"/>
        <v>18</v>
      </c>
      <c r="R23" s="57">
        <v>274.13010043606715</v>
      </c>
      <c r="S23" s="14">
        <f t="shared" si="5"/>
        <v>0.99236754967097263</v>
      </c>
      <c r="T23" s="14">
        <f t="shared" si="1"/>
        <v>276.23847688989548</v>
      </c>
      <c r="U23" s="1360">
        <f t="shared" si="2"/>
        <v>324</v>
      </c>
      <c r="V23" s="26">
        <f t="shared" si="3"/>
        <v>4972.2925840181188</v>
      </c>
    </row>
    <row r="24" spans="2:22">
      <c r="B24" s="1387"/>
      <c r="C24" s="1" t="s">
        <v>60</v>
      </c>
      <c r="D24" s="36">
        <v>321.85805179680005</v>
      </c>
      <c r="O24" s="1387"/>
      <c r="P24" s="1" t="s">
        <v>59</v>
      </c>
      <c r="Q24" s="58">
        <f t="shared" si="4"/>
        <v>19</v>
      </c>
      <c r="R24" s="57">
        <v>274.95721792679575</v>
      </c>
      <c r="S24" s="14">
        <f t="shared" si="5"/>
        <v>1.0041163817444161</v>
      </c>
      <c r="T24" s="14">
        <f t="shared" si="1"/>
        <v>273.83002899437042</v>
      </c>
      <c r="U24" s="1360">
        <f t="shared" si="2"/>
        <v>361</v>
      </c>
      <c r="V24" s="26">
        <f t="shared" si="3"/>
        <v>5202.7705508930376</v>
      </c>
    </row>
    <row r="25" spans="2:22">
      <c r="B25" s="1387"/>
      <c r="C25" s="1" t="s">
        <v>61</v>
      </c>
      <c r="D25" s="36">
        <v>280.09172285835211</v>
      </c>
      <c r="O25" s="1387"/>
      <c r="P25" s="1" t="s">
        <v>60</v>
      </c>
      <c r="Q25" s="58">
        <f t="shared" si="4"/>
        <v>20</v>
      </c>
      <c r="R25" s="57">
        <v>321.85805179680005</v>
      </c>
      <c r="S25" s="14">
        <f t="shared" si="5"/>
        <v>1.1319859486103705</v>
      </c>
      <c r="T25" s="14">
        <f t="shared" si="1"/>
        <v>284.3304302424549</v>
      </c>
      <c r="U25" s="1360">
        <f t="shared" si="2"/>
        <v>400</v>
      </c>
      <c r="V25" s="26">
        <f t="shared" si="3"/>
        <v>5686.6086048490979</v>
      </c>
    </row>
    <row r="26" spans="2:22">
      <c r="B26" s="1387"/>
      <c r="C26" s="1" t="s">
        <v>62</v>
      </c>
      <c r="D26" s="36">
        <v>329.45892543837363</v>
      </c>
      <c r="O26" s="1387"/>
      <c r="P26" s="1" t="s">
        <v>61</v>
      </c>
      <c r="Q26" s="58">
        <f t="shared" si="4"/>
        <v>21</v>
      </c>
      <c r="R26" s="57">
        <v>280.09172285835211</v>
      </c>
      <c r="S26" s="14">
        <f t="shared" si="5"/>
        <v>1.0454860033866507</v>
      </c>
      <c r="T26" s="14">
        <f t="shared" si="1"/>
        <v>267.90576052768654</v>
      </c>
      <c r="U26" s="1360">
        <f t="shared" si="2"/>
        <v>441</v>
      </c>
      <c r="V26" s="26">
        <f t="shared" si="3"/>
        <v>5626.020971081417</v>
      </c>
    </row>
    <row r="27" spans="2:22">
      <c r="B27" s="1387"/>
      <c r="C27" s="1" t="s">
        <v>63</v>
      </c>
      <c r="D27" s="36">
        <v>307.58011563692747</v>
      </c>
      <c r="O27" s="1387"/>
      <c r="P27" s="1" t="s">
        <v>62</v>
      </c>
      <c r="Q27" s="58">
        <f t="shared" si="4"/>
        <v>22</v>
      </c>
      <c r="R27" s="57">
        <v>329.45892543837363</v>
      </c>
      <c r="S27" s="14">
        <f t="shared" si="5"/>
        <v>1.0626479573786491</v>
      </c>
      <c r="T27" s="14">
        <f t="shared" si="1"/>
        <v>310.03581491944544</v>
      </c>
      <c r="U27" s="1360">
        <f t="shared" si="2"/>
        <v>484</v>
      </c>
      <c r="V27" s="26">
        <f t="shared" si="3"/>
        <v>6820.7879282278</v>
      </c>
    </row>
    <row r="28" spans="2:22" ht="15" thickBot="1">
      <c r="B28" s="1388"/>
      <c r="C28" s="2" t="s">
        <v>64</v>
      </c>
      <c r="D28" s="37">
        <v>225.97526978514333</v>
      </c>
      <c r="O28" s="1387"/>
      <c r="P28" s="1" t="s">
        <v>63</v>
      </c>
      <c r="Q28" s="58">
        <f t="shared" si="4"/>
        <v>23</v>
      </c>
      <c r="R28" s="57">
        <v>307.58011563692747</v>
      </c>
      <c r="S28" s="14">
        <f t="shared" si="5"/>
        <v>1.0483130777859193</v>
      </c>
      <c r="T28" s="14">
        <f t="shared" si="1"/>
        <v>293.40482548071367</v>
      </c>
      <c r="U28" s="1360">
        <f t="shared" si="2"/>
        <v>529</v>
      </c>
      <c r="V28" s="26">
        <f t="shared" si="3"/>
        <v>6748.3109860564145</v>
      </c>
    </row>
    <row r="29" spans="2:22" ht="15" thickBot="1">
      <c r="B29" s="1386">
        <v>2019</v>
      </c>
      <c r="C29" s="11" t="s">
        <v>53</v>
      </c>
      <c r="D29" s="35">
        <v>256.031235828094</v>
      </c>
      <c r="O29" s="1388"/>
      <c r="P29" s="2" t="s">
        <v>64</v>
      </c>
      <c r="Q29" s="1331">
        <f t="shared" si="4"/>
        <v>24</v>
      </c>
      <c r="R29" s="62">
        <v>225.97526978514333</v>
      </c>
      <c r="S29" s="16">
        <f t="shared" si="5"/>
        <v>0.80854917915490099</v>
      </c>
      <c r="T29" s="16">
        <f t="shared" si="1"/>
        <v>279.48240578431313</v>
      </c>
      <c r="U29" s="1367">
        <f t="shared" si="2"/>
        <v>576</v>
      </c>
      <c r="V29" s="27">
        <f t="shared" si="3"/>
        <v>6707.5777388235147</v>
      </c>
    </row>
    <row r="30" spans="2:22">
      <c r="B30" s="1387"/>
      <c r="C30" s="1" t="s">
        <v>54</v>
      </c>
      <c r="D30" s="36">
        <v>291.14910761238309</v>
      </c>
      <c r="O30" s="1386">
        <v>2019</v>
      </c>
      <c r="P30" s="11" t="s">
        <v>53</v>
      </c>
      <c r="Q30" s="59">
        <f t="shared" si="4"/>
        <v>25</v>
      </c>
      <c r="R30" s="60">
        <v>256.031235828094</v>
      </c>
      <c r="S30" s="20">
        <f t="shared" ref="S30:S41" si="6">S6</f>
        <v>0.89729134759745099</v>
      </c>
      <c r="T30" s="20">
        <f t="shared" si="1"/>
        <v>285.33790781960874</v>
      </c>
      <c r="U30" s="1358">
        <f t="shared" si="2"/>
        <v>625</v>
      </c>
      <c r="V30" s="61">
        <f t="shared" si="3"/>
        <v>7133.4476954902184</v>
      </c>
    </row>
    <row r="31" spans="2:22">
      <c r="B31" s="1387"/>
      <c r="C31" s="1" t="s">
        <v>55</v>
      </c>
      <c r="D31" s="36">
        <v>294.47615428175453</v>
      </c>
      <c r="O31" s="1387"/>
      <c r="P31" s="1" t="s">
        <v>54</v>
      </c>
      <c r="Q31" s="58">
        <f t="shared" si="4"/>
        <v>26</v>
      </c>
      <c r="R31" s="57">
        <v>291.14910761238309</v>
      </c>
      <c r="S31" s="14">
        <f t="shared" si="6"/>
        <v>0.95261407489408878</v>
      </c>
      <c r="T31" s="14">
        <f t="shared" si="1"/>
        <v>305.63175086905255</v>
      </c>
      <c r="U31" s="1360">
        <f t="shared" si="2"/>
        <v>676</v>
      </c>
      <c r="V31" s="26">
        <f t="shared" si="3"/>
        <v>7946.4255225953666</v>
      </c>
    </row>
    <row r="32" spans="2:22">
      <c r="B32" s="1387"/>
      <c r="C32" s="1" t="s">
        <v>56</v>
      </c>
      <c r="D32" s="36">
        <v>261.29682400181127</v>
      </c>
      <c r="O32" s="1387"/>
      <c r="P32" s="1" t="s">
        <v>55</v>
      </c>
      <c r="Q32" s="58">
        <f t="shared" si="4"/>
        <v>27</v>
      </c>
      <c r="R32" s="57">
        <v>294.47615428175453</v>
      </c>
      <c r="S32" s="14">
        <f t="shared" si="6"/>
        <v>1.1053132407115231</v>
      </c>
      <c r="T32" s="14">
        <f t="shared" si="1"/>
        <v>266.41873401624269</v>
      </c>
      <c r="U32" s="1360">
        <f t="shared" si="2"/>
        <v>729</v>
      </c>
      <c r="V32" s="26">
        <f t="shared" si="3"/>
        <v>7193.3058184385527</v>
      </c>
    </row>
    <row r="33" spans="2:22">
      <c r="B33" s="1387"/>
      <c r="C33" s="1" t="s">
        <v>57</v>
      </c>
      <c r="D33" s="36">
        <v>291.58191920893984</v>
      </c>
      <c r="O33" s="1387"/>
      <c r="P33" s="1" t="s">
        <v>56</v>
      </c>
      <c r="Q33" s="58">
        <f t="shared" si="4"/>
        <v>28</v>
      </c>
      <c r="R33" s="57">
        <v>261.29682400181127</v>
      </c>
      <c r="S33" s="14">
        <f t="shared" si="6"/>
        <v>0.93863089495102248</v>
      </c>
      <c r="T33" s="14">
        <f t="shared" si="1"/>
        <v>278.38080485881051</v>
      </c>
      <c r="U33" s="1360">
        <f t="shared" si="2"/>
        <v>784</v>
      </c>
      <c r="V33" s="26">
        <f t="shared" si="3"/>
        <v>7794.6625360466942</v>
      </c>
    </row>
    <row r="34" spans="2:22">
      <c r="B34" s="1387"/>
      <c r="C34" s="1" t="s">
        <v>58</v>
      </c>
      <c r="D34" s="36">
        <v>224.12095518632142</v>
      </c>
      <c r="O34" s="1387"/>
      <c r="P34" s="1" t="s">
        <v>57</v>
      </c>
      <c r="Q34" s="58">
        <f t="shared" si="4"/>
        <v>29</v>
      </c>
      <c r="R34" s="57">
        <v>291.58191920893984</v>
      </c>
      <c r="S34" s="14">
        <f t="shared" si="6"/>
        <v>1.012684344114031</v>
      </c>
      <c r="T34" s="14">
        <f t="shared" si="1"/>
        <v>287.92971956531693</v>
      </c>
      <c r="U34" s="1360">
        <f t="shared" si="2"/>
        <v>841</v>
      </c>
      <c r="V34" s="26">
        <f t="shared" si="3"/>
        <v>8349.9618673941914</v>
      </c>
    </row>
    <row r="35" spans="2:22">
      <c r="B35" s="1387"/>
      <c r="C35" s="1" t="s">
        <v>59</v>
      </c>
      <c r="D35" s="36">
        <v>264.72365384098731</v>
      </c>
      <c r="O35" s="1387"/>
      <c r="P35" s="1" t="s">
        <v>58</v>
      </c>
      <c r="Q35" s="58">
        <f t="shared" si="4"/>
        <v>30</v>
      </c>
      <c r="R35" s="57">
        <v>224.12095518632142</v>
      </c>
      <c r="S35" s="14">
        <f t="shared" si="6"/>
        <v>0.99236754967097263</v>
      </c>
      <c r="T35" s="14">
        <f t="shared" si="1"/>
        <v>225.84470366915011</v>
      </c>
      <c r="U35" s="1360">
        <f t="shared" si="2"/>
        <v>900</v>
      </c>
      <c r="V35" s="26">
        <f t="shared" si="3"/>
        <v>6775.3411100745034</v>
      </c>
    </row>
    <row r="36" spans="2:22">
      <c r="B36" s="1387"/>
      <c r="C36" s="1" t="s">
        <v>60</v>
      </c>
      <c r="D36" s="36">
        <v>290.30397604658339</v>
      </c>
      <c r="O36" s="1387"/>
      <c r="P36" s="1" t="s">
        <v>59</v>
      </c>
      <c r="Q36" s="58">
        <f t="shared" si="4"/>
        <v>31</v>
      </c>
      <c r="R36" s="57">
        <v>264.72365384098731</v>
      </c>
      <c r="S36" s="14">
        <f t="shared" si="6"/>
        <v>1.0041163817444161</v>
      </c>
      <c r="T36" s="14">
        <f t="shared" si="1"/>
        <v>263.63841747217811</v>
      </c>
      <c r="U36" s="1360">
        <f t="shared" si="2"/>
        <v>961</v>
      </c>
      <c r="V36" s="26">
        <f t="shared" si="3"/>
        <v>8172.7909416375214</v>
      </c>
    </row>
    <row r="37" spans="2:22">
      <c r="B37" s="1387"/>
      <c r="C37" s="1" t="s">
        <v>61</v>
      </c>
      <c r="D37" s="36">
        <v>251.49297210457468</v>
      </c>
      <c r="O37" s="1387"/>
      <c r="P37" s="1" t="s">
        <v>60</v>
      </c>
      <c r="Q37" s="58">
        <f t="shared" si="4"/>
        <v>32</v>
      </c>
      <c r="R37" s="57">
        <v>290.30397604658339</v>
      </c>
      <c r="S37" s="14">
        <f t="shared" si="6"/>
        <v>1.1319859486103705</v>
      </c>
      <c r="T37" s="14">
        <f t="shared" si="1"/>
        <v>256.45545901250932</v>
      </c>
      <c r="U37" s="1360">
        <f t="shared" si="2"/>
        <v>1024</v>
      </c>
      <c r="V37" s="26">
        <f t="shared" si="3"/>
        <v>8206.5746884002983</v>
      </c>
    </row>
    <row r="38" spans="2:22">
      <c r="B38" s="1387"/>
      <c r="C38" s="1" t="s">
        <v>62</v>
      </c>
      <c r="D38" s="36">
        <v>210.74503558656878</v>
      </c>
      <c r="O38" s="1387"/>
      <c r="P38" s="1" t="s">
        <v>61</v>
      </c>
      <c r="Q38" s="58">
        <f t="shared" si="4"/>
        <v>33</v>
      </c>
      <c r="R38" s="57">
        <v>251.49297210457468</v>
      </c>
      <c r="S38" s="14">
        <f t="shared" si="6"/>
        <v>1.0454860033866507</v>
      </c>
      <c r="T38" s="14">
        <f t="shared" si="1"/>
        <v>240.55125682210149</v>
      </c>
      <c r="U38" s="1360">
        <f t="shared" si="2"/>
        <v>1089</v>
      </c>
      <c r="V38" s="26">
        <f t="shared" si="3"/>
        <v>7938.1914751293489</v>
      </c>
    </row>
    <row r="39" spans="2:22">
      <c r="B39" s="1387"/>
      <c r="C39" s="1" t="s">
        <v>63</v>
      </c>
      <c r="D39" s="36">
        <v>203.09201489918678</v>
      </c>
      <c r="O39" s="1387"/>
      <c r="P39" s="1" t="s">
        <v>62</v>
      </c>
      <c r="Q39" s="58">
        <f t="shared" si="4"/>
        <v>34</v>
      </c>
      <c r="R39" s="57">
        <v>210.74503558656878</v>
      </c>
      <c r="S39" s="14">
        <f t="shared" si="6"/>
        <v>1.0626479573786491</v>
      </c>
      <c r="T39" s="14">
        <f t="shared" si="1"/>
        <v>198.32065184262603</v>
      </c>
      <c r="U39" s="1360">
        <f t="shared" si="2"/>
        <v>1156</v>
      </c>
      <c r="V39" s="26">
        <f t="shared" si="3"/>
        <v>6742.9021626492849</v>
      </c>
    </row>
    <row r="40" spans="2:22" ht="15" thickBot="1">
      <c r="B40" s="1388"/>
      <c r="C40" s="2" t="s">
        <v>64</v>
      </c>
      <c r="D40" s="37">
        <v>167.23886285949024</v>
      </c>
      <c r="O40" s="1387"/>
      <c r="P40" s="1" t="s">
        <v>63</v>
      </c>
      <c r="Q40" s="58">
        <f t="shared" si="4"/>
        <v>35</v>
      </c>
      <c r="R40" s="57">
        <v>203.09201489918678</v>
      </c>
      <c r="S40" s="14">
        <f t="shared" si="6"/>
        <v>1.0483130777859193</v>
      </c>
      <c r="T40" s="14">
        <f t="shared" si="1"/>
        <v>193.73221531121746</v>
      </c>
      <c r="U40" s="1360">
        <f t="shared" si="2"/>
        <v>1225</v>
      </c>
      <c r="V40" s="26">
        <f t="shared" si="3"/>
        <v>6780.6275358926114</v>
      </c>
    </row>
    <row r="41" spans="2:22" ht="15" thickBot="1">
      <c r="B41" s="1386">
        <v>2020</v>
      </c>
      <c r="C41" s="11" t="s">
        <v>53</v>
      </c>
      <c r="D41" s="35">
        <v>145.23889976630579</v>
      </c>
      <c r="O41" s="1388"/>
      <c r="P41" s="2" t="s">
        <v>64</v>
      </c>
      <c r="Q41" s="1331">
        <f t="shared" si="4"/>
        <v>36</v>
      </c>
      <c r="R41" s="62">
        <v>167.23886285949024</v>
      </c>
      <c r="S41" s="16">
        <f t="shared" si="6"/>
        <v>0.80854917915490099</v>
      </c>
      <c r="T41" s="16">
        <f t="shared" si="1"/>
        <v>206.83820745979733</v>
      </c>
      <c r="U41" s="1367">
        <f t="shared" si="2"/>
        <v>1296</v>
      </c>
      <c r="V41" s="27">
        <f t="shared" si="3"/>
        <v>7446.1754685527039</v>
      </c>
    </row>
    <row r="42" spans="2:22" ht="15" thickBot="1">
      <c r="B42" s="1387"/>
      <c r="C42" s="1" t="s">
        <v>54</v>
      </c>
      <c r="D42" s="36">
        <v>137.72018017778237</v>
      </c>
      <c r="Q42" s="23">
        <f>AVERAGE(Q6:Q41)</f>
        <v>18.5</v>
      </c>
      <c r="R42" s="63">
        <f>AVERAGE(R6:R41)</f>
        <v>263.17635588603395</v>
      </c>
      <c r="S42" s="64"/>
      <c r="T42" s="63">
        <f>SUM(T6:T41)</f>
        <v>9474.3488118972273</v>
      </c>
      <c r="U42" s="63">
        <f>SUM(U6:U41)</f>
        <v>16206</v>
      </c>
      <c r="V42" s="63">
        <f>SUM(V6:V41)</f>
        <v>173665.91740278335</v>
      </c>
    </row>
    <row r="43" spans="2:22" ht="15" thickBot="1">
      <c r="B43" s="1387"/>
      <c r="C43" s="1" t="s">
        <v>55</v>
      </c>
      <c r="D43" s="36">
        <v>94.467841929329367</v>
      </c>
    </row>
    <row r="44" spans="2:22">
      <c r="B44" s="1387"/>
      <c r="C44" s="1" t="s">
        <v>56</v>
      </c>
      <c r="D44" s="36">
        <v>15.644607278839343</v>
      </c>
      <c r="O44" s="1376" t="s">
        <v>76</v>
      </c>
      <c r="P44" s="21">
        <f>(V42-Q41*Q42*R42)/(U42-Q41*POWER(Q42,2))</f>
        <v>-0.41429488219183236</v>
      </c>
    </row>
    <row r="45" spans="2:22" ht="15" thickBot="1">
      <c r="B45" s="1387"/>
      <c r="C45" s="1" t="s">
        <v>57</v>
      </c>
      <c r="D45" s="36">
        <v>39.228436947354105</v>
      </c>
      <c r="O45" s="1337" t="s">
        <v>77</v>
      </c>
      <c r="P45" s="17">
        <f>R42-P44*Q42</f>
        <v>270.84081120658283</v>
      </c>
    </row>
    <row r="46" spans="2:22">
      <c r="B46" s="1387"/>
      <c r="C46" s="1" t="s">
        <v>58</v>
      </c>
      <c r="D46" s="36">
        <v>66.736966007104755</v>
      </c>
    </row>
    <row r="47" spans="2:22">
      <c r="B47" s="1387"/>
      <c r="C47" s="1" t="s">
        <v>59</v>
      </c>
      <c r="D47" s="36">
        <v>85.852910228953178</v>
      </c>
    </row>
    <row r="48" spans="2:22">
      <c r="B48" s="1387"/>
      <c r="C48" s="1" t="s">
        <v>60</v>
      </c>
      <c r="D48" s="36">
        <v>103.98365728212057</v>
      </c>
    </row>
    <row r="49" spans="2:10">
      <c r="B49" s="1387"/>
      <c r="C49" s="1" t="s">
        <v>61</v>
      </c>
      <c r="D49" s="36">
        <v>128.56551606320258</v>
      </c>
    </row>
    <row r="50" spans="2:10">
      <c r="B50" s="1387"/>
      <c r="C50" s="1" t="s">
        <v>62</v>
      </c>
      <c r="D50" s="36">
        <v>139.33319500718659</v>
      </c>
    </row>
    <row r="51" spans="2:10">
      <c r="B51" s="1387"/>
      <c r="C51" s="1" t="s">
        <v>63</v>
      </c>
      <c r="D51" s="36">
        <v>188.69195811642143</v>
      </c>
    </row>
    <row r="52" spans="2:10" ht="15" thickBot="1">
      <c r="B52" s="1388"/>
      <c r="C52" s="2" t="s">
        <v>64</v>
      </c>
      <c r="D52" s="37">
        <v>204.32728691275835</v>
      </c>
    </row>
    <row r="53" spans="2:10">
      <c r="B53" s="1386">
        <v>2021</v>
      </c>
      <c r="C53" s="11" t="s">
        <v>53</v>
      </c>
      <c r="D53" s="35">
        <v>187.86113910341791</v>
      </c>
    </row>
    <row r="54" spans="2:10" ht="15" thickBot="1">
      <c r="B54" s="1387"/>
      <c r="C54" s="1" t="s">
        <v>54</v>
      </c>
      <c r="D54" s="36">
        <v>157.27674374050594</v>
      </c>
    </row>
    <row r="55" spans="2:10" ht="15" thickBot="1">
      <c r="B55" s="1387"/>
      <c r="C55" s="1" t="s">
        <v>55</v>
      </c>
      <c r="D55" s="36">
        <v>195.29330229506564</v>
      </c>
      <c r="F55" s="1389" t="s">
        <v>78</v>
      </c>
      <c r="G55" s="1390"/>
      <c r="H55" s="56">
        <f>MAX(D5:D40)</f>
        <v>329.45892543837363</v>
      </c>
    </row>
    <row r="56" spans="2:10" ht="15" thickBot="1">
      <c r="B56" s="1387"/>
      <c r="C56" s="1" t="s">
        <v>56</v>
      </c>
      <c r="D56" s="36">
        <v>180.63478055025328</v>
      </c>
      <c r="J56" t="s">
        <v>79</v>
      </c>
    </row>
    <row r="57" spans="2:10" ht="15" thickBot="1">
      <c r="B57" s="1387"/>
      <c r="C57" s="1" t="s">
        <v>57</v>
      </c>
      <c r="D57" s="36">
        <v>153.38516063522263</v>
      </c>
      <c r="F57" s="1389" t="s">
        <v>66</v>
      </c>
      <c r="G57" s="1390"/>
      <c r="H57" s="56">
        <f>AVERAGE(D5:D40)</f>
        <v>263.17635588603395</v>
      </c>
    </row>
    <row r="58" spans="2:10">
      <c r="B58" s="1387"/>
      <c r="C58" s="1" t="s">
        <v>58</v>
      </c>
      <c r="D58" s="36">
        <v>195.74340740369055</v>
      </c>
    </row>
    <row r="59" spans="2:10">
      <c r="B59" s="1387"/>
      <c r="C59" s="1" t="s">
        <v>59</v>
      </c>
      <c r="D59" s="36">
        <v>202.48461977069479</v>
      </c>
    </row>
    <row r="60" spans="2:10">
      <c r="B60" s="1387"/>
      <c r="C60" s="1" t="s">
        <v>60</v>
      </c>
      <c r="D60" s="36">
        <v>230.01604891491931</v>
      </c>
    </row>
    <row r="61" spans="2:10">
      <c r="B61" s="1387"/>
      <c r="C61" s="1" t="s">
        <v>61</v>
      </c>
      <c r="D61" s="36">
        <v>214.7810767678329</v>
      </c>
    </row>
    <row r="62" spans="2:10">
      <c r="B62" s="1387"/>
      <c r="C62" s="1" t="s">
        <v>62</v>
      </c>
      <c r="D62" s="36">
        <v>228.12432426430601</v>
      </c>
    </row>
    <row r="63" spans="2:10">
      <c r="B63" s="1387"/>
      <c r="C63" s="1" t="s">
        <v>63</v>
      </c>
      <c r="D63" s="36">
        <v>228.01623981387965</v>
      </c>
    </row>
    <row r="64" spans="2:10" ht="15" thickBot="1">
      <c r="B64" s="1388"/>
      <c r="C64" s="2" t="s">
        <v>64</v>
      </c>
      <c r="D64" s="37">
        <v>212.76596804139044</v>
      </c>
    </row>
    <row r="65" spans="2:4">
      <c r="B65" s="1386">
        <v>2022</v>
      </c>
      <c r="C65" s="11" t="s">
        <v>53</v>
      </c>
      <c r="D65" s="35">
        <v>160.55057576003949</v>
      </c>
    </row>
    <row r="66" spans="2:4">
      <c r="B66" s="1387"/>
      <c r="C66" s="1" t="s">
        <v>54</v>
      </c>
      <c r="D66" s="36">
        <v>191.53732433862288</v>
      </c>
    </row>
    <row r="67" spans="2:4">
      <c r="B67" s="1387"/>
      <c r="C67" s="1" t="s">
        <v>55</v>
      </c>
      <c r="D67" s="36">
        <v>203.72374673277443</v>
      </c>
    </row>
    <row r="68" spans="2:4">
      <c r="B68" s="1387"/>
      <c r="C68" s="1" t="s">
        <v>56</v>
      </c>
      <c r="D68" s="36">
        <v>205.80047425151329</v>
      </c>
    </row>
    <row r="69" spans="2:4">
      <c r="B69" s="1387"/>
      <c r="C69" s="1" t="s">
        <v>57</v>
      </c>
      <c r="D69" s="36">
        <v>236.95692631550281</v>
      </c>
    </row>
    <row r="70" spans="2:4">
      <c r="B70" s="1387"/>
      <c r="C70" s="1" t="s">
        <v>58</v>
      </c>
      <c r="D70" s="36">
        <v>243.75966929577527</v>
      </c>
    </row>
    <row r="71" spans="2:4">
      <c r="B71" s="1387"/>
      <c r="C71" s="1" t="s">
        <v>59</v>
      </c>
      <c r="D71" s="36">
        <v>239.7431856174384</v>
      </c>
    </row>
    <row r="72" spans="2:4">
      <c r="B72" s="1387"/>
      <c r="C72" s="1" t="s">
        <v>60</v>
      </c>
      <c r="D72" s="36">
        <v>271.46615525140396</v>
      </c>
    </row>
    <row r="73" spans="2:4">
      <c r="B73" s="1387"/>
      <c r="C73" s="1" t="s">
        <v>61</v>
      </c>
      <c r="D73" s="36">
        <v>260.40168943139173</v>
      </c>
    </row>
    <row r="74" spans="2:4">
      <c r="B74" s="1387"/>
      <c r="C74" s="1" t="s">
        <v>62</v>
      </c>
      <c r="D74" s="36">
        <v>235.18637007013768</v>
      </c>
    </row>
    <row r="75" spans="2:4">
      <c r="B75" s="1387"/>
      <c r="C75" s="1" t="s">
        <v>63</v>
      </c>
      <c r="D75" s="36">
        <v>256.38218432601496</v>
      </c>
    </row>
    <row r="76" spans="2:4" ht="15" thickBot="1">
      <c r="B76" s="1388"/>
      <c r="C76" s="2" t="s">
        <v>64</v>
      </c>
      <c r="D76" s="37">
        <v>207.79562324017564</v>
      </c>
    </row>
    <row r="77" spans="2:4">
      <c r="B77" s="1386">
        <v>2023</v>
      </c>
      <c r="C77" s="11" t="s">
        <v>53</v>
      </c>
      <c r="D77" s="35">
        <v>205.17760060974291</v>
      </c>
    </row>
    <row r="78" spans="2:4">
      <c r="B78" s="1387"/>
      <c r="C78" s="1" t="s">
        <v>54</v>
      </c>
      <c r="D78" s="36">
        <v>201.43881634396647</v>
      </c>
    </row>
    <row r="79" spans="2:4">
      <c r="B79" s="1387"/>
      <c r="C79" s="1" t="s">
        <v>55</v>
      </c>
      <c r="D79" s="36">
        <v>246.37776444247797</v>
      </c>
    </row>
    <row r="80" spans="2:4">
      <c r="B80" s="1387"/>
      <c r="C80" s="1" t="s">
        <v>56</v>
      </c>
      <c r="D80" s="36">
        <v>224.48942939037778</v>
      </c>
    </row>
    <row r="81" spans="2:4">
      <c r="B81" s="1387"/>
      <c r="C81" s="1" t="s">
        <v>57</v>
      </c>
      <c r="D81" s="36">
        <v>241.50063869310134</v>
      </c>
    </row>
    <row r="82" spans="2:4">
      <c r="B82" s="1387"/>
      <c r="C82" s="1" t="s">
        <v>58</v>
      </c>
      <c r="D82" s="36">
        <v>261.33882394122355</v>
      </c>
    </row>
    <row r="83" spans="2:4">
      <c r="B83" s="1387"/>
      <c r="C83" s="1" t="s">
        <v>59</v>
      </c>
      <c r="D83" s="36">
        <v>251.15914414901118</v>
      </c>
    </row>
    <row r="84" spans="2:4">
      <c r="B84" s="1387"/>
      <c r="C84" s="1" t="s">
        <v>60</v>
      </c>
      <c r="D84" s="36">
        <v>262.78093701951525</v>
      </c>
    </row>
    <row r="85" spans="2:4">
      <c r="B85" s="1387"/>
      <c r="C85" s="1" t="s">
        <v>61</v>
      </c>
      <c r="D85" s="36">
        <v>248.59769073479697</v>
      </c>
    </row>
    <row r="86" spans="2:4">
      <c r="B86" s="1387"/>
      <c r="C86" s="1" t="s">
        <v>62</v>
      </c>
      <c r="D86" s="36">
        <v>225.05600906658546</v>
      </c>
    </row>
    <row r="87" spans="2:4">
      <c r="B87" s="1387"/>
      <c r="C87" s="1" t="s">
        <v>63</v>
      </c>
      <c r="D87" s="36">
        <v>227.14119994809897</v>
      </c>
    </row>
    <row r="88" spans="2:4" ht="15" thickBot="1">
      <c r="B88" s="1388"/>
      <c r="C88" s="2" t="s">
        <v>64</v>
      </c>
      <c r="D88" s="37">
        <v>159.01196802933751</v>
      </c>
    </row>
  </sheetData>
  <mergeCells count="14">
    <mergeCell ref="B77:B88"/>
    <mergeCell ref="B53:B64"/>
    <mergeCell ref="B65:B76"/>
    <mergeCell ref="B5:B16"/>
    <mergeCell ref="B17:B28"/>
    <mergeCell ref="B29:B40"/>
    <mergeCell ref="B41:B52"/>
    <mergeCell ref="B2:C2"/>
    <mergeCell ref="F57:G57"/>
    <mergeCell ref="F55:G55"/>
    <mergeCell ref="O4:V4"/>
    <mergeCell ref="O6:O17"/>
    <mergeCell ref="O18:O29"/>
    <mergeCell ref="O30:O41"/>
  </mergeCells>
  <hyperlinks>
    <hyperlink ref="D2" location="Indice!A1" display="INDICE" xr:uid="{00000000-0004-0000-0300-000000000000}"/>
  </hyperlinks>
  <pageMargins left="0.7" right="0.7" top="0.75" bottom="0.75" header="0.3" footer="0.3"/>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B2:CE57"/>
  <sheetViews>
    <sheetView showGridLines="0" zoomScale="70" zoomScaleNormal="70" workbookViewId="0">
      <selection activeCell="AC66" sqref="AC66"/>
    </sheetView>
  </sheetViews>
  <sheetFormatPr defaultColWidth="11.42578125" defaultRowHeight="14.45"/>
  <cols>
    <col min="2" max="2" width="23.7109375" customWidth="1"/>
    <col min="3" max="3" width="37" bestFit="1" customWidth="1"/>
    <col min="4" max="4" width="11.85546875" hidden="1" customWidth="1"/>
    <col min="5" max="15" width="0" hidden="1" customWidth="1"/>
    <col min="16" max="16" width="14.28515625" bestFit="1" customWidth="1"/>
    <col min="17" max="28" width="0" hidden="1" customWidth="1"/>
    <col min="29" max="29" width="14.28515625" bestFit="1" customWidth="1"/>
    <col min="30" max="41" width="0" hidden="1" customWidth="1"/>
    <col min="42" max="42" width="14.28515625" bestFit="1" customWidth="1"/>
    <col min="43" max="54" width="0" hidden="1" customWidth="1"/>
    <col min="55" max="55" width="14.28515625" bestFit="1" customWidth="1"/>
    <col min="56" max="67" width="0" hidden="1" customWidth="1"/>
    <col min="68" max="68" width="14.28515625" bestFit="1" customWidth="1"/>
    <col min="70" max="70" width="38.140625" bestFit="1" customWidth="1"/>
    <col min="71" max="76" width="17" bestFit="1" customWidth="1"/>
    <col min="78" max="78" width="51.85546875" bestFit="1" customWidth="1"/>
    <col min="79" max="80" width="13.7109375" bestFit="1" customWidth="1"/>
    <col min="81" max="81" width="15.7109375" customWidth="1"/>
    <col min="82" max="82" width="14.28515625" customWidth="1"/>
    <col min="83" max="83" width="13.7109375" bestFit="1" customWidth="1"/>
  </cols>
  <sheetData>
    <row r="2" spans="2:83">
      <c r="B2" t="s">
        <v>48</v>
      </c>
      <c r="C2" s="337" t="s">
        <v>49</v>
      </c>
    </row>
    <row r="3" spans="2:83" ht="15" thickBot="1"/>
    <row r="4" spans="2:83" ht="15" customHeight="1" thickBot="1">
      <c r="B4" s="1730"/>
      <c r="C4" s="1369"/>
      <c r="D4" s="1732" t="s">
        <v>1138</v>
      </c>
      <c r="E4" s="1733"/>
      <c r="F4" s="1733"/>
      <c r="G4" s="1733"/>
      <c r="H4" s="1733"/>
      <c r="I4" s="1733"/>
      <c r="J4" s="1733"/>
      <c r="K4" s="1733"/>
      <c r="L4" s="1733"/>
      <c r="M4" s="1733"/>
      <c r="N4" s="1733"/>
      <c r="O4" s="1733"/>
      <c r="P4" s="1733"/>
      <c r="Q4" s="1733"/>
      <c r="R4" s="1733"/>
      <c r="S4" s="1733"/>
      <c r="T4" s="1733"/>
      <c r="U4" s="1733"/>
      <c r="V4" s="1733"/>
      <c r="W4" s="1733"/>
      <c r="X4" s="1733"/>
      <c r="Y4" s="1733"/>
      <c r="Z4" s="1733"/>
      <c r="AA4" s="1733"/>
      <c r="AB4" s="1733"/>
      <c r="AC4" s="1733"/>
      <c r="AD4" s="1733"/>
      <c r="AE4" s="1733"/>
      <c r="AF4" s="1733"/>
      <c r="AG4" s="1733"/>
      <c r="AH4" s="1733"/>
      <c r="AI4" s="1733"/>
      <c r="AJ4" s="1733"/>
      <c r="AK4" s="1733"/>
      <c r="AL4" s="1733"/>
      <c r="AM4" s="1733"/>
      <c r="AN4" s="1733"/>
      <c r="AO4" s="1733"/>
      <c r="AP4" s="1733"/>
      <c r="AQ4" s="1733"/>
      <c r="AR4" s="1733"/>
      <c r="AS4" s="1733"/>
      <c r="AT4" s="1733"/>
      <c r="AU4" s="1733"/>
      <c r="AV4" s="1733"/>
      <c r="AW4" s="1733"/>
      <c r="AX4" s="1733"/>
      <c r="AY4" s="1733"/>
      <c r="AZ4" s="1733"/>
      <c r="BA4" s="1733"/>
      <c r="BB4" s="1733"/>
      <c r="BC4" s="1733"/>
      <c r="BD4" s="1733"/>
      <c r="BE4" s="1733"/>
      <c r="BF4" s="1733"/>
      <c r="BG4" s="1733"/>
      <c r="BH4" s="1733"/>
      <c r="BI4" s="1733"/>
      <c r="BJ4" s="1733"/>
      <c r="BK4" s="1733"/>
      <c r="BL4" s="1733"/>
      <c r="BM4" s="1733"/>
      <c r="BN4" s="1733"/>
      <c r="BO4" s="1733"/>
      <c r="BP4" s="1734"/>
      <c r="BR4" s="1755" t="s">
        <v>1175</v>
      </c>
      <c r="BS4" s="1756"/>
      <c r="BT4" s="1756"/>
      <c r="BU4" s="1756"/>
      <c r="BV4" s="1756"/>
      <c r="BW4" s="1756"/>
      <c r="BX4" s="1757"/>
      <c r="BZ4" s="1339" t="s">
        <v>1224</v>
      </c>
      <c r="CA4" s="1339">
        <v>2024</v>
      </c>
      <c r="CB4" s="1340">
        <v>2025</v>
      </c>
      <c r="CC4" s="1339">
        <v>2026</v>
      </c>
      <c r="CD4" s="1339">
        <v>2027</v>
      </c>
      <c r="CE4" s="1339">
        <v>2028</v>
      </c>
    </row>
    <row r="5" spans="2:83" ht="15" customHeight="1" thickBot="1">
      <c r="B5" s="1731"/>
      <c r="C5" s="1370"/>
      <c r="D5" s="1735"/>
      <c r="E5" s="1736"/>
      <c r="F5" s="1736"/>
      <c r="G5" s="1736"/>
      <c r="H5" s="1736"/>
      <c r="I5" s="1736"/>
      <c r="J5" s="1736"/>
      <c r="K5" s="1736"/>
      <c r="L5" s="1736"/>
      <c r="M5" s="1736"/>
      <c r="N5" s="1736"/>
      <c r="O5" s="1736"/>
      <c r="P5" s="1736"/>
      <c r="Q5" s="1736"/>
      <c r="R5" s="1736"/>
      <c r="S5" s="1736"/>
      <c r="T5" s="1736"/>
      <c r="U5" s="1736"/>
      <c r="V5" s="1736"/>
      <c r="W5" s="1736"/>
      <c r="X5" s="1736"/>
      <c r="Y5" s="1736"/>
      <c r="Z5" s="1736"/>
      <c r="AA5" s="1736"/>
      <c r="AB5" s="1736"/>
      <c r="AC5" s="1736"/>
      <c r="AD5" s="1736"/>
      <c r="AE5" s="1736"/>
      <c r="AF5" s="1736"/>
      <c r="AG5" s="1736"/>
      <c r="AH5" s="1736"/>
      <c r="AI5" s="1736"/>
      <c r="AJ5" s="1736"/>
      <c r="AK5" s="1736"/>
      <c r="AL5" s="1736"/>
      <c r="AM5" s="1736"/>
      <c r="AN5" s="1736"/>
      <c r="AO5" s="1736"/>
      <c r="AP5" s="1736"/>
      <c r="AQ5" s="1736"/>
      <c r="AR5" s="1736"/>
      <c r="AS5" s="1736"/>
      <c r="AT5" s="1736"/>
      <c r="AU5" s="1736"/>
      <c r="AV5" s="1736"/>
      <c r="AW5" s="1736"/>
      <c r="AX5" s="1736"/>
      <c r="AY5" s="1736"/>
      <c r="AZ5" s="1736"/>
      <c r="BA5" s="1736"/>
      <c r="BB5" s="1736"/>
      <c r="BC5" s="1736"/>
      <c r="BD5" s="1736"/>
      <c r="BE5" s="1736"/>
      <c r="BF5" s="1736"/>
      <c r="BG5" s="1736"/>
      <c r="BH5" s="1736"/>
      <c r="BI5" s="1736"/>
      <c r="BJ5" s="1736"/>
      <c r="BK5" s="1736"/>
      <c r="BL5" s="1736"/>
      <c r="BM5" s="1736"/>
      <c r="BN5" s="1736"/>
      <c r="BO5" s="1736"/>
      <c r="BP5" s="1737"/>
      <c r="BR5" s="1758"/>
      <c r="BS5" s="1759"/>
      <c r="BT5" s="1759"/>
      <c r="BU5" s="1759"/>
      <c r="BV5" s="1759"/>
      <c r="BW5" s="1759"/>
      <c r="BX5" s="1760"/>
      <c r="BZ5" s="238" t="s">
        <v>1143</v>
      </c>
      <c r="CA5" s="359">
        <v>234237.12320617767</v>
      </c>
      <c r="CB5" s="353">
        <v>1048295.2410332785</v>
      </c>
      <c r="CC5" s="359">
        <v>1758526.0120838359</v>
      </c>
      <c r="CD5" s="359">
        <v>2615724.9421390626</v>
      </c>
      <c r="CE5" s="359">
        <v>3639452.2003936982</v>
      </c>
    </row>
    <row r="6" spans="2:83" ht="15" thickBot="1">
      <c r="B6" s="1731"/>
      <c r="C6" s="1370"/>
      <c r="D6" s="1741">
        <v>2024</v>
      </c>
      <c r="E6" s="1742"/>
      <c r="F6" s="1742"/>
      <c r="G6" s="1742"/>
      <c r="H6" s="1742"/>
      <c r="I6" s="1742"/>
      <c r="J6" s="1742"/>
      <c r="K6" s="1742"/>
      <c r="L6" s="1742"/>
      <c r="M6" s="1742"/>
      <c r="N6" s="1742"/>
      <c r="O6" s="1742"/>
      <c r="P6" s="1743"/>
      <c r="Q6" s="1744">
        <v>2025</v>
      </c>
      <c r="R6" s="1745"/>
      <c r="S6" s="1745"/>
      <c r="T6" s="1745"/>
      <c r="U6" s="1745"/>
      <c r="V6" s="1745"/>
      <c r="W6" s="1745"/>
      <c r="X6" s="1745"/>
      <c r="Y6" s="1745"/>
      <c r="Z6" s="1745"/>
      <c r="AA6" s="1745"/>
      <c r="AB6" s="1745"/>
      <c r="AC6" s="1746"/>
      <c r="AD6" s="1747">
        <v>2026</v>
      </c>
      <c r="AE6" s="1747"/>
      <c r="AF6" s="1747"/>
      <c r="AG6" s="1747"/>
      <c r="AH6" s="1747"/>
      <c r="AI6" s="1747"/>
      <c r="AJ6" s="1747"/>
      <c r="AK6" s="1747"/>
      <c r="AL6" s="1747"/>
      <c r="AM6" s="1747"/>
      <c r="AN6" s="1747"/>
      <c r="AO6" s="1747"/>
      <c r="AP6" s="1748"/>
      <c r="AQ6" s="1744">
        <v>2027</v>
      </c>
      <c r="AR6" s="1745"/>
      <c r="AS6" s="1745"/>
      <c r="AT6" s="1745"/>
      <c r="AU6" s="1745"/>
      <c r="AV6" s="1745"/>
      <c r="AW6" s="1745"/>
      <c r="AX6" s="1745"/>
      <c r="AY6" s="1745"/>
      <c r="AZ6" s="1745"/>
      <c r="BA6" s="1745"/>
      <c r="BB6" s="1745"/>
      <c r="BC6" s="1746"/>
      <c r="BD6" s="1749">
        <v>2028</v>
      </c>
      <c r="BE6" s="1750"/>
      <c r="BF6" s="1750"/>
      <c r="BG6" s="1750"/>
      <c r="BH6" s="1750"/>
      <c r="BI6" s="1750"/>
      <c r="BJ6" s="1750"/>
      <c r="BK6" s="1750"/>
      <c r="BL6" s="1750"/>
      <c r="BM6" s="1750"/>
      <c r="BN6" s="1750"/>
      <c r="BO6" s="1750"/>
      <c r="BP6" s="1751"/>
      <c r="BR6" s="1355" t="s">
        <v>50</v>
      </c>
      <c r="BS6" s="1316" t="s">
        <v>1176</v>
      </c>
      <c r="BT6" s="1316">
        <v>2024</v>
      </c>
      <c r="BU6" s="1316">
        <v>2025</v>
      </c>
      <c r="BV6" s="1316">
        <v>2026</v>
      </c>
      <c r="BW6" s="1316">
        <v>2027</v>
      </c>
      <c r="BX6" s="1317">
        <v>2028</v>
      </c>
      <c r="BZ6" s="237" t="s">
        <v>1225</v>
      </c>
      <c r="CA6" s="360">
        <v>169433.22900884433</v>
      </c>
      <c r="CB6" s="354">
        <v>622124.96014291223</v>
      </c>
      <c r="CC6" s="360">
        <v>957953.35905359348</v>
      </c>
      <c r="CD6" s="360">
        <v>1334430.6574903824</v>
      </c>
      <c r="CE6" s="360">
        <v>1798657.7410897193</v>
      </c>
    </row>
    <row r="7" spans="2:83" ht="15" thickBot="1">
      <c r="B7" s="304" t="s">
        <v>1139</v>
      </c>
      <c r="C7" s="1136"/>
      <c r="D7" s="1134" t="s">
        <v>53</v>
      </c>
      <c r="E7" s="282" t="s">
        <v>54</v>
      </c>
      <c r="F7" s="282" t="s">
        <v>55</v>
      </c>
      <c r="G7" s="282" t="s">
        <v>56</v>
      </c>
      <c r="H7" s="282" t="s">
        <v>57</v>
      </c>
      <c r="I7" s="282" t="s">
        <v>58</v>
      </c>
      <c r="J7" s="282" t="s">
        <v>59</v>
      </c>
      <c r="K7" s="282" t="s">
        <v>60</v>
      </c>
      <c r="L7" s="282" t="s">
        <v>61</v>
      </c>
      <c r="M7" s="282" t="s">
        <v>62</v>
      </c>
      <c r="N7" s="282" t="s">
        <v>63</v>
      </c>
      <c r="O7" s="283" t="s">
        <v>64</v>
      </c>
      <c r="P7" s="460" t="s">
        <v>1140</v>
      </c>
      <c r="Q7" s="464" t="s">
        <v>53</v>
      </c>
      <c r="R7" s="458" t="s">
        <v>54</v>
      </c>
      <c r="S7" s="458" t="s">
        <v>55</v>
      </c>
      <c r="T7" s="458" t="s">
        <v>56</v>
      </c>
      <c r="U7" s="458" t="s">
        <v>57</v>
      </c>
      <c r="V7" s="458" t="s">
        <v>58</v>
      </c>
      <c r="W7" s="458" t="s">
        <v>59</v>
      </c>
      <c r="X7" s="458" t="s">
        <v>60</v>
      </c>
      <c r="Y7" s="458" t="s">
        <v>61</v>
      </c>
      <c r="Z7" s="458" t="s">
        <v>62</v>
      </c>
      <c r="AA7" s="458" t="s">
        <v>63</v>
      </c>
      <c r="AB7" s="459" t="s">
        <v>64</v>
      </c>
      <c r="AC7" s="460" t="s">
        <v>1140</v>
      </c>
      <c r="AD7" s="278" t="s">
        <v>53</v>
      </c>
      <c r="AE7" s="278" t="s">
        <v>54</v>
      </c>
      <c r="AF7" s="278" t="s">
        <v>55</v>
      </c>
      <c r="AG7" s="278" t="s">
        <v>56</v>
      </c>
      <c r="AH7" s="278" t="s">
        <v>57</v>
      </c>
      <c r="AI7" s="278" t="s">
        <v>58</v>
      </c>
      <c r="AJ7" s="278" t="s">
        <v>59</v>
      </c>
      <c r="AK7" s="278" t="s">
        <v>60</v>
      </c>
      <c r="AL7" s="278" t="s">
        <v>61</v>
      </c>
      <c r="AM7" s="278" t="s">
        <v>62</v>
      </c>
      <c r="AN7" s="278" t="s">
        <v>63</v>
      </c>
      <c r="AO7" s="1374" t="s">
        <v>64</v>
      </c>
      <c r="AP7" s="331" t="s">
        <v>1140</v>
      </c>
      <c r="AQ7" s="278" t="s">
        <v>53</v>
      </c>
      <c r="AR7" s="1375" t="s">
        <v>54</v>
      </c>
      <c r="AS7" s="1375" t="s">
        <v>55</v>
      </c>
      <c r="AT7" s="1375" t="s">
        <v>56</v>
      </c>
      <c r="AU7" s="1375" t="s">
        <v>57</v>
      </c>
      <c r="AV7" s="1375" t="s">
        <v>58</v>
      </c>
      <c r="AW7" s="1375" t="s">
        <v>59</v>
      </c>
      <c r="AX7" s="1375" t="s">
        <v>60</v>
      </c>
      <c r="AY7" s="1375" t="s">
        <v>61</v>
      </c>
      <c r="AZ7" s="1375" t="s">
        <v>62</v>
      </c>
      <c r="BA7" s="1375" t="s">
        <v>63</v>
      </c>
      <c r="BB7" s="977" t="s">
        <v>64</v>
      </c>
      <c r="BC7" s="331" t="s">
        <v>1140</v>
      </c>
      <c r="BD7" s="278" t="s">
        <v>53</v>
      </c>
      <c r="BE7" s="1375" t="s">
        <v>54</v>
      </c>
      <c r="BF7" s="1375" t="s">
        <v>55</v>
      </c>
      <c r="BG7" s="1375" t="s">
        <v>56</v>
      </c>
      <c r="BH7" s="1375" t="s">
        <v>57</v>
      </c>
      <c r="BI7" s="1375" t="s">
        <v>58</v>
      </c>
      <c r="BJ7" s="1375" t="s">
        <v>59</v>
      </c>
      <c r="BK7" s="1375" t="s">
        <v>60</v>
      </c>
      <c r="BL7" s="1375" t="s">
        <v>61</v>
      </c>
      <c r="BM7" s="1375" t="s">
        <v>62</v>
      </c>
      <c r="BN7" s="1375" t="s">
        <v>63</v>
      </c>
      <c r="BO7" s="977" t="s">
        <v>64</v>
      </c>
      <c r="BP7" s="980" t="s">
        <v>1140</v>
      </c>
      <c r="BR7" s="316" t="s">
        <v>1143</v>
      </c>
      <c r="BS7" s="216"/>
      <c r="BT7" s="216">
        <v>234237.12320617767</v>
      </c>
      <c r="BU7" s="216">
        <v>1048295.2410332785</v>
      </c>
      <c r="BV7" s="216">
        <v>1758526.0120838359</v>
      </c>
      <c r="BW7" s="216">
        <v>2615724.9421390626</v>
      </c>
      <c r="BX7" s="288">
        <v>3639452.2003936982</v>
      </c>
      <c r="BZ7" s="366" t="s">
        <v>1226</v>
      </c>
      <c r="CA7" s="361">
        <v>64803.894197333342</v>
      </c>
      <c r="CB7" s="355">
        <v>426170.2808903663</v>
      </c>
      <c r="CC7" s="361">
        <v>800572.65303024242</v>
      </c>
      <c r="CD7" s="361">
        <v>1281294.2846486801</v>
      </c>
      <c r="CE7" s="361">
        <v>1840794.4593039788</v>
      </c>
    </row>
    <row r="8" spans="2:83">
      <c r="B8" s="303" t="s">
        <v>1141</v>
      </c>
      <c r="C8" s="1137"/>
      <c r="D8" s="416">
        <v>0</v>
      </c>
      <c r="E8" s="188">
        <v>0</v>
      </c>
      <c r="F8" s="188">
        <v>367.02972237418214</v>
      </c>
      <c r="G8" s="188">
        <v>523.57232508353434</v>
      </c>
      <c r="H8" s="188">
        <v>906.6911257259319</v>
      </c>
      <c r="I8" s="188">
        <v>1616.5671477092926</v>
      </c>
      <c r="J8" s="188">
        <v>2209.2567216277685</v>
      </c>
      <c r="K8" s="188">
        <v>3113.3920062007687</v>
      </c>
      <c r="L8" s="188">
        <v>3173.48868429094</v>
      </c>
      <c r="M8" s="188">
        <v>3436.1701173878319</v>
      </c>
      <c r="N8" s="188">
        <v>3987.6473065901032</v>
      </c>
      <c r="O8" s="284">
        <v>3434.4087938413113</v>
      </c>
      <c r="P8" s="465">
        <v>22768.223950831663</v>
      </c>
      <c r="Q8" s="416">
        <v>6590.2484293801235</v>
      </c>
      <c r="R8" s="188">
        <v>6579.7357055578359</v>
      </c>
      <c r="S8" s="188">
        <v>7751.6663272764727</v>
      </c>
      <c r="T8" s="188">
        <v>7370.0811248228465</v>
      </c>
      <c r="U8" s="188">
        <v>7655.9691425157725</v>
      </c>
      <c r="V8" s="188">
        <v>8529.2235797886951</v>
      </c>
      <c r="W8" s="188">
        <v>8475.3003586720242</v>
      </c>
      <c r="X8" s="188">
        <v>9382.1885191373221</v>
      </c>
      <c r="Y8" s="188">
        <v>8923.6346072925098</v>
      </c>
      <c r="Z8" s="188">
        <v>8523.5481615752851</v>
      </c>
      <c r="AA8" s="188">
        <v>8848.2485127828168</v>
      </c>
      <c r="AB8" s="284">
        <v>7237.9658788241259</v>
      </c>
      <c r="AC8" s="465">
        <v>95867.810347625811</v>
      </c>
      <c r="AD8" s="330">
        <v>10414.269830246423</v>
      </c>
      <c r="AE8" s="328">
        <v>10395.313130617735</v>
      </c>
      <c r="AF8" s="328">
        <v>12244.107310603957</v>
      </c>
      <c r="AG8" s="328">
        <v>11638.796872797848</v>
      </c>
      <c r="AH8" s="328">
        <v>12087.613918836134</v>
      </c>
      <c r="AI8" s="328">
        <v>13463.417131546397</v>
      </c>
      <c r="AJ8" s="328">
        <v>13375.409867137334</v>
      </c>
      <c r="AK8" s="328">
        <v>14803.456959408673</v>
      </c>
      <c r="AL8" s="328">
        <v>14076.949084713777</v>
      </c>
      <c r="AM8" s="328">
        <v>13442.985246886436</v>
      </c>
      <c r="AN8" s="328">
        <v>13952.175096484962</v>
      </c>
      <c r="AO8" s="468">
        <v>11410.671254948435</v>
      </c>
      <c r="AP8" s="329">
        <v>151305.1657042281</v>
      </c>
      <c r="AQ8" s="330">
        <v>14590.889355230222</v>
      </c>
      <c r="AR8" s="328">
        <v>14561.363603864951</v>
      </c>
      <c r="AS8" s="328">
        <v>17147.62017372427</v>
      </c>
      <c r="AT8" s="328">
        <v>16296.629411148569</v>
      </c>
      <c r="AU8" s="328">
        <v>16921.698831864815</v>
      </c>
      <c r="AV8" s="328">
        <v>18843.998524546314</v>
      </c>
      <c r="AW8" s="328">
        <v>18717.158928355508</v>
      </c>
      <c r="AX8" s="328">
        <v>20711.50818681515</v>
      </c>
      <c r="AY8" s="328">
        <v>19691.26167798505</v>
      </c>
      <c r="AZ8" s="328">
        <v>18800.864335213275</v>
      </c>
      <c r="BA8" s="328">
        <v>19509.303231727605</v>
      </c>
      <c r="BB8" s="468">
        <v>15952.524922214245</v>
      </c>
      <c r="BC8" s="329">
        <v>211744.82118268995</v>
      </c>
      <c r="BD8" s="330">
        <v>19120.107004331523</v>
      </c>
      <c r="BE8" s="328">
        <v>19077.887125299487</v>
      </c>
      <c r="BF8" s="328">
        <v>22462.20491663742</v>
      </c>
      <c r="BG8" s="328">
        <v>21343.578739875007</v>
      </c>
      <c r="BH8" s="328">
        <v>22158.223881601811</v>
      </c>
      <c r="BI8" s="328">
        <v>24670.96775878848</v>
      </c>
      <c r="BJ8" s="328">
        <v>24500.547542326556</v>
      </c>
      <c r="BK8" s="328">
        <v>27106.342201356747</v>
      </c>
      <c r="BL8" s="328">
        <v>25766.572387106324</v>
      </c>
      <c r="BM8" s="328">
        <v>24597.185426555778</v>
      </c>
      <c r="BN8" s="328">
        <v>25519.632918510746</v>
      </c>
      <c r="BO8" s="468">
        <v>20863.526880621557</v>
      </c>
      <c r="BP8" s="329">
        <v>277186.77678301145</v>
      </c>
      <c r="BR8" s="316" t="s">
        <v>1177</v>
      </c>
      <c r="BS8" s="216">
        <v>235000</v>
      </c>
      <c r="BT8" s="216"/>
      <c r="BU8" s="216"/>
      <c r="BV8" s="216"/>
      <c r="BW8" s="216"/>
      <c r="BX8" s="288"/>
      <c r="BZ8" s="237" t="s">
        <v>1227</v>
      </c>
      <c r="CA8" s="362">
        <v>44912.78119842973</v>
      </c>
      <c r="CB8" s="300">
        <v>86284.845415974414</v>
      </c>
      <c r="CC8" s="362">
        <v>93648.277389880968</v>
      </c>
      <c r="CD8" s="362">
        <v>98264.06104378005</v>
      </c>
      <c r="CE8" s="362">
        <v>144840.13536271825</v>
      </c>
    </row>
    <row r="9" spans="2:83">
      <c r="B9" s="455" t="s">
        <v>1142</v>
      </c>
      <c r="C9" s="1138"/>
      <c r="D9" s="1135">
        <v>0</v>
      </c>
      <c r="E9" s="456">
        <v>0</v>
      </c>
      <c r="F9" s="456">
        <v>4505.6000000000004</v>
      </c>
      <c r="G9" s="456">
        <v>4096</v>
      </c>
      <c r="H9" s="456">
        <v>4300.8</v>
      </c>
      <c r="I9" s="456">
        <v>4096</v>
      </c>
      <c r="J9" s="456">
        <v>4198.3999999999996</v>
      </c>
      <c r="K9" s="456">
        <v>4618.24</v>
      </c>
      <c r="L9" s="456">
        <v>4408.32</v>
      </c>
      <c r="M9" s="456">
        <v>4408.32</v>
      </c>
      <c r="N9" s="456">
        <v>4198.3999999999996</v>
      </c>
      <c r="O9" s="457">
        <v>4618.24</v>
      </c>
      <c r="P9" s="465">
        <v>43448.32</v>
      </c>
      <c r="Q9" s="416">
        <v>9139.1999999999989</v>
      </c>
      <c r="R9" s="188">
        <v>8704</v>
      </c>
      <c r="S9" s="188">
        <v>9574.4</v>
      </c>
      <c r="T9" s="188">
        <v>8704</v>
      </c>
      <c r="U9" s="188">
        <v>9139.1999999999989</v>
      </c>
      <c r="V9" s="188">
        <v>8704</v>
      </c>
      <c r="W9" s="188">
        <v>9216</v>
      </c>
      <c r="X9" s="188">
        <v>10137.6</v>
      </c>
      <c r="Y9" s="188">
        <v>9676.8000000000011</v>
      </c>
      <c r="Z9" s="188">
        <v>9676.8000000000011</v>
      </c>
      <c r="AA9" s="188">
        <v>9216</v>
      </c>
      <c r="AB9" s="284">
        <v>10137.6</v>
      </c>
      <c r="AC9" s="465">
        <v>112025.60000000001</v>
      </c>
      <c r="AD9" s="330">
        <v>9676.8000000000011</v>
      </c>
      <c r="AE9" s="328">
        <v>9216</v>
      </c>
      <c r="AF9" s="328">
        <v>10137.6</v>
      </c>
      <c r="AG9" s="328">
        <v>9216</v>
      </c>
      <c r="AH9" s="328">
        <v>9676.8000000000011</v>
      </c>
      <c r="AI9" s="328">
        <v>9216</v>
      </c>
      <c r="AJ9" s="328">
        <v>9216</v>
      </c>
      <c r="AK9" s="328">
        <v>10137.6</v>
      </c>
      <c r="AL9" s="328">
        <v>9676.8000000000011</v>
      </c>
      <c r="AM9" s="328">
        <v>9676.8000000000011</v>
      </c>
      <c r="AN9" s="328">
        <v>9216</v>
      </c>
      <c r="AO9" s="468">
        <v>10137.6</v>
      </c>
      <c r="AP9" s="329">
        <v>115200.00000000003</v>
      </c>
      <c r="AQ9" s="416">
        <v>18278.399999999998</v>
      </c>
      <c r="AR9" s="188">
        <v>17408</v>
      </c>
      <c r="AS9" s="188">
        <v>19148.8</v>
      </c>
      <c r="AT9" s="188">
        <v>17408</v>
      </c>
      <c r="AU9" s="188">
        <v>18278.399999999998</v>
      </c>
      <c r="AV9" s="188">
        <v>17408</v>
      </c>
      <c r="AW9" s="188">
        <v>17408</v>
      </c>
      <c r="AX9" s="188">
        <v>19148.8</v>
      </c>
      <c r="AY9" s="188">
        <v>18278.399999999998</v>
      </c>
      <c r="AZ9" s="188">
        <v>18278.399999999998</v>
      </c>
      <c r="BA9" s="188">
        <v>17408</v>
      </c>
      <c r="BB9" s="284">
        <v>19148.8</v>
      </c>
      <c r="BC9" s="329">
        <v>217599.99999999997</v>
      </c>
      <c r="BD9" s="330">
        <v>25804.800000000003</v>
      </c>
      <c r="BE9" s="330">
        <v>24576</v>
      </c>
      <c r="BF9" s="330">
        <v>27033.600000000002</v>
      </c>
      <c r="BG9" s="330">
        <v>24576</v>
      </c>
      <c r="BH9" s="330">
        <v>25804.800000000003</v>
      </c>
      <c r="BI9" s="330">
        <v>24576</v>
      </c>
      <c r="BJ9" s="330">
        <v>24576</v>
      </c>
      <c r="BK9" s="330">
        <v>27033.600000000002</v>
      </c>
      <c r="BL9" s="330">
        <v>25804.800000000003</v>
      </c>
      <c r="BM9" s="330">
        <v>25804.800000000003</v>
      </c>
      <c r="BN9" s="330">
        <v>24576</v>
      </c>
      <c r="BO9" s="979">
        <v>27033.600000000002</v>
      </c>
      <c r="BP9" s="329">
        <v>307200</v>
      </c>
      <c r="BR9" s="316" t="s">
        <v>1178</v>
      </c>
      <c r="BS9" s="216">
        <v>390000</v>
      </c>
      <c r="BT9" s="216"/>
      <c r="BU9" s="216"/>
      <c r="BV9" s="216"/>
      <c r="BW9" s="216"/>
      <c r="BX9" s="288"/>
      <c r="BZ9" s="237" t="s">
        <v>1228</v>
      </c>
      <c r="CA9" s="360">
        <v>218373.61584121309</v>
      </c>
      <c r="CB9" s="354">
        <v>241310.28757974753</v>
      </c>
      <c r="CC9" s="360">
        <v>308591.53211528005</v>
      </c>
      <c r="CD9" s="360">
        <v>347206.44827780308</v>
      </c>
      <c r="CE9" s="360">
        <v>376738.75564413966</v>
      </c>
    </row>
    <row r="10" spans="2:83">
      <c r="B10" s="455" t="s">
        <v>678</v>
      </c>
      <c r="C10" s="1138"/>
      <c r="D10" s="1135">
        <v>0</v>
      </c>
      <c r="E10" s="456">
        <v>0</v>
      </c>
      <c r="F10" s="456">
        <v>4138.5702776258186</v>
      </c>
      <c r="G10" s="456">
        <v>7710.9979525422841</v>
      </c>
      <c r="H10" s="456">
        <v>11105.106826816353</v>
      </c>
      <c r="I10" s="456">
        <v>13584.53967910706</v>
      </c>
      <c r="J10" s="456">
        <v>15573.68295747929</v>
      </c>
      <c r="K10" s="456">
        <v>17078.530951278521</v>
      </c>
      <c r="L10" s="456">
        <v>18313.36226698758</v>
      </c>
      <c r="M10" s="456">
        <v>19285.512149599748</v>
      </c>
      <c r="N10" s="456">
        <v>19496.264843009645</v>
      </c>
      <c r="O10" s="457">
        <v>20680.096049168333</v>
      </c>
      <c r="P10" s="466">
        <v>20680.096049168333</v>
      </c>
      <c r="Q10" s="416">
        <v>23229.047619788209</v>
      </c>
      <c r="R10" s="416">
        <v>25353.311914230373</v>
      </c>
      <c r="S10" s="416">
        <v>27176.0455869539</v>
      </c>
      <c r="T10" s="416">
        <v>28509.964462131054</v>
      </c>
      <c r="U10" s="416">
        <v>29993.195319615283</v>
      </c>
      <c r="V10" s="416">
        <v>30167.971739826586</v>
      </c>
      <c r="W10" s="416">
        <v>30908.671381154563</v>
      </c>
      <c r="X10" s="416">
        <v>31664.08286201724</v>
      </c>
      <c r="Y10" s="416">
        <v>32417.248254724731</v>
      </c>
      <c r="Z10" s="416">
        <v>33570.500093149443</v>
      </c>
      <c r="AA10" s="416">
        <v>33938.251580366625</v>
      </c>
      <c r="AB10" s="467">
        <v>36837.885701542502</v>
      </c>
      <c r="AC10" s="465">
        <v>36837.885701542502</v>
      </c>
      <c r="AD10" s="330">
        <v>36100.415871296078</v>
      </c>
      <c r="AE10" s="328">
        <v>34921.10274067834</v>
      </c>
      <c r="AF10" s="328">
        <v>32814.595430074383</v>
      </c>
      <c r="AG10" s="328">
        <v>30391.798557276536</v>
      </c>
      <c r="AH10" s="328">
        <v>27980.984638440401</v>
      </c>
      <c r="AI10" s="328">
        <v>23733.567506894004</v>
      </c>
      <c r="AJ10" s="328">
        <v>19574.157639756668</v>
      </c>
      <c r="AK10" s="328">
        <v>14908.300680347995</v>
      </c>
      <c r="AL10" s="328">
        <v>10508.151595634219</v>
      </c>
      <c r="AM10" s="328">
        <v>6741.9663487477847</v>
      </c>
      <c r="AN10" s="328">
        <v>2005.791252262823</v>
      </c>
      <c r="AO10" s="468">
        <v>732.71999731438882</v>
      </c>
      <c r="AP10" s="329">
        <v>732.71999731440155</v>
      </c>
      <c r="AQ10" s="416">
        <v>4420.2306420841778</v>
      </c>
      <c r="AR10" s="188">
        <v>7266.8670382192267</v>
      </c>
      <c r="AS10" s="188">
        <v>9268.046864494956</v>
      </c>
      <c r="AT10" s="188">
        <v>10379.417453346387</v>
      </c>
      <c r="AU10" s="188">
        <v>11736.11862148157</v>
      </c>
      <c r="AV10" s="188">
        <v>10300.120096935256</v>
      </c>
      <c r="AW10" s="188">
        <v>8990.9611685797481</v>
      </c>
      <c r="AX10" s="188">
        <v>7428.2529817645973</v>
      </c>
      <c r="AY10" s="188">
        <v>6015.3913037795446</v>
      </c>
      <c r="AZ10" s="188">
        <v>5492.9269685662675</v>
      </c>
      <c r="BA10" s="188">
        <v>3391.6237368386628</v>
      </c>
      <c r="BB10" s="284">
        <v>6587.8988146244174</v>
      </c>
      <c r="BC10" s="329">
        <v>6587.8988146244174</v>
      </c>
      <c r="BD10" s="330">
        <v>13272.591810292897</v>
      </c>
      <c r="BE10" s="330">
        <v>18770.704684993412</v>
      </c>
      <c r="BF10" s="330">
        <v>23342.099768355994</v>
      </c>
      <c r="BG10" s="330">
        <v>26574.521028480987</v>
      </c>
      <c r="BH10" s="330">
        <v>30221.097146879179</v>
      </c>
      <c r="BI10" s="330">
        <v>30126.1293880907</v>
      </c>
      <c r="BJ10" s="330">
        <v>30201.581845764144</v>
      </c>
      <c r="BK10" s="330">
        <v>30128.839644407399</v>
      </c>
      <c r="BL10" s="330">
        <v>30167.067257301078</v>
      </c>
      <c r="BM10" s="330">
        <v>31374.681830745303</v>
      </c>
      <c r="BN10" s="330">
        <v>30431.048912234557</v>
      </c>
      <c r="BO10" s="979">
        <v>36601.122031613006</v>
      </c>
      <c r="BP10" s="329">
        <v>36601.122031612998</v>
      </c>
      <c r="BR10" s="314" t="s">
        <v>1179</v>
      </c>
      <c r="BS10" s="318">
        <v>625000</v>
      </c>
      <c r="BT10" s="318">
        <v>234237.12320617767</v>
      </c>
      <c r="BU10" s="318">
        <v>1048295.2410332785</v>
      </c>
      <c r="BV10" s="318">
        <v>1758526.0120838359</v>
      </c>
      <c r="BW10" s="318">
        <v>2615724.9421390626</v>
      </c>
      <c r="BX10" s="318">
        <v>3639452.2003936982</v>
      </c>
      <c r="BZ10" s="366" t="s">
        <v>1229</v>
      </c>
      <c r="CA10" s="361">
        <v>-198482.50284230948</v>
      </c>
      <c r="CB10" s="355">
        <v>98575.147894644382</v>
      </c>
      <c r="CC10" s="361">
        <v>398332.84352508141</v>
      </c>
      <c r="CD10" s="361">
        <v>835823.77532709693</v>
      </c>
      <c r="CE10" s="361">
        <v>1319215.568297121</v>
      </c>
    </row>
    <row r="11" spans="2:83" ht="15" thickBot="1">
      <c r="B11" s="455" t="s">
        <v>1143</v>
      </c>
      <c r="C11" s="1138"/>
      <c r="D11" s="946">
        <v>0</v>
      </c>
      <c r="E11" s="947">
        <v>0</v>
      </c>
      <c r="F11" s="947">
        <v>0</v>
      </c>
      <c r="G11" s="947">
        <v>1887.9818312958521</v>
      </c>
      <c r="H11" s="947">
        <v>4581.2106813541595</v>
      </c>
      <c r="I11" s="947">
        <v>7357.200914485742</v>
      </c>
      <c r="J11" s="947">
        <v>12979.509520637526</v>
      </c>
      <c r="K11" s="947">
        <v>19679.839301086693</v>
      </c>
      <c r="L11" s="947">
        <v>27379.428640019963</v>
      </c>
      <c r="M11" s="947">
        <v>32339.387781440346</v>
      </c>
      <c r="N11" s="947">
        <v>33999.741622865462</v>
      </c>
      <c r="O11" s="947">
        <v>38187.73129506594</v>
      </c>
      <c r="P11" s="920">
        <v>178392.0315882517</v>
      </c>
      <c r="Q11" s="950">
        <v>38178.671138211736</v>
      </c>
      <c r="R11" s="950">
        <v>53697.941595588571</v>
      </c>
      <c r="S11" s="950">
        <v>72005.564970542546</v>
      </c>
      <c r="T11" s="950">
        <v>78355.500630910785</v>
      </c>
      <c r="U11" s="950">
        <v>82676.634798801373</v>
      </c>
      <c r="V11" s="950">
        <v>82153.420056537216</v>
      </c>
      <c r="W11" s="950">
        <v>88490.9149613138</v>
      </c>
      <c r="X11" s="950">
        <v>92970.52606128651</v>
      </c>
      <c r="Y11" s="950">
        <v>97634.026163380724</v>
      </c>
      <c r="Z11" s="950">
        <v>100085.24862020367</v>
      </c>
      <c r="AA11" s="950">
        <v>95390.718739279517</v>
      </c>
      <c r="AB11" s="950">
        <v>94978.552842154953</v>
      </c>
      <c r="AC11" s="1142">
        <v>976617.72057821159</v>
      </c>
      <c r="AD11" s="950">
        <v>87949.760883321418</v>
      </c>
      <c r="AE11" s="950">
        <v>100092.1477652696</v>
      </c>
      <c r="AF11" s="950">
        <v>120928.43217537811</v>
      </c>
      <c r="AG11" s="950">
        <v>131561.96471908805</v>
      </c>
      <c r="AH11" s="950">
        <v>138788.0845149635</v>
      </c>
      <c r="AI11" s="950">
        <v>137878.67174355523</v>
      </c>
      <c r="AJ11" s="950">
        <v>148481.88602328685</v>
      </c>
      <c r="AK11" s="950">
        <v>155965.51245072397</v>
      </c>
      <c r="AL11" s="950">
        <v>163752.73796796324</v>
      </c>
      <c r="AM11" s="950">
        <v>167829.51537626638</v>
      </c>
      <c r="AN11" s="950">
        <v>159923.55630329158</v>
      </c>
      <c r="AO11" s="950">
        <v>159198.4709999889</v>
      </c>
      <c r="AP11" s="1142">
        <v>1672350.7409230969</v>
      </c>
      <c r="AQ11" s="950">
        <v>147388.3090570347</v>
      </c>
      <c r="AR11" s="950">
        <v>156431.62061281406</v>
      </c>
      <c r="AS11" s="950">
        <v>180061.72419882138</v>
      </c>
      <c r="AT11" s="950">
        <v>195853.62063084901</v>
      </c>
      <c r="AU11" s="950">
        <v>206571.65856915747</v>
      </c>
      <c r="AV11" s="950">
        <v>205176.23344007385</v>
      </c>
      <c r="AW11" s="950">
        <v>220910.30639055284</v>
      </c>
      <c r="AX11" s="950">
        <v>232000.14020744254</v>
      </c>
      <c r="AY11" s="950">
        <v>243534.99517106806</v>
      </c>
      <c r="AZ11" s="950">
        <v>249551.63549355761</v>
      </c>
      <c r="BA11" s="950">
        <v>237750.35801658046</v>
      </c>
      <c r="BB11" s="950">
        <v>236626.47398567462</v>
      </c>
      <c r="BC11" s="1142">
        <v>2511857.0757736266</v>
      </c>
      <c r="BD11" s="950">
        <v>219033.42872335119</v>
      </c>
      <c r="BE11" s="950">
        <v>224055.4722979207</v>
      </c>
      <c r="BF11" s="950">
        <v>250769.13011355375</v>
      </c>
      <c r="BG11" s="950">
        <v>272709.94154409808</v>
      </c>
      <c r="BH11" s="950">
        <v>287584.16539377242</v>
      </c>
      <c r="BI11" s="950">
        <v>285588.53548011248</v>
      </c>
      <c r="BJ11" s="950">
        <v>307432.78329560324</v>
      </c>
      <c r="BK11" s="950">
        <v>322810.09512121807</v>
      </c>
      <c r="BL11" s="950">
        <v>338798.28362114454</v>
      </c>
      <c r="BM11" s="950">
        <v>347109.71348183695</v>
      </c>
      <c r="BN11" s="950">
        <v>330637.14532550878</v>
      </c>
      <c r="BO11" s="950">
        <v>329015.99224819633</v>
      </c>
      <c r="BP11" s="1142">
        <v>3515544.6866463162</v>
      </c>
      <c r="BR11" s="301" t="s">
        <v>1144</v>
      </c>
      <c r="BS11" s="212"/>
      <c r="BT11" s="212">
        <v>226794.35799844787</v>
      </c>
      <c r="BU11" s="212">
        <v>597623.1776069022</v>
      </c>
      <c r="BV11" s="212">
        <v>628077.92363211699</v>
      </c>
      <c r="BW11" s="212">
        <v>1212469.538353822</v>
      </c>
      <c r="BX11" s="286">
        <v>1749379.5786319145</v>
      </c>
      <c r="BZ11" s="237" t="s">
        <v>1094</v>
      </c>
      <c r="CA11" s="362">
        <v>20878.162111388196</v>
      </c>
      <c r="CB11" s="300">
        <v>20878.162111388196</v>
      </c>
      <c r="CC11" s="362">
        <v>20878.162111388196</v>
      </c>
      <c r="CD11" s="362">
        <v>33260.836398058593</v>
      </c>
      <c r="CE11" s="362">
        <v>33732.996008009664</v>
      </c>
    </row>
    <row r="12" spans="2:83" ht="15" thickBot="1">
      <c r="B12" s="1145"/>
      <c r="C12" s="1145"/>
      <c r="D12" s="1146"/>
      <c r="E12" s="1147"/>
      <c r="F12" s="1147"/>
      <c r="G12" s="1147"/>
      <c r="H12" s="1147"/>
      <c r="I12" s="1147"/>
      <c r="J12" s="1147"/>
      <c r="K12" s="1147"/>
      <c r="L12" s="1147"/>
      <c r="M12" s="1147"/>
      <c r="N12" s="1147"/>
      <c r="O12" s="1148"/>
      <c r="P12" s="1149"/>
      <c r="Q12" s="1150"/>
      <c r="R12" s="1151"/>
      <c r="S12" s="1151"/>
      <c r="T12" s="1151"/>
      <c r="U12" s="1151"/>
      <c r="V12" s="1151"/>
      <c r="W12" s="1151"/>
      <c r="X12" s="1151"/>
      <c r="Y12" s="1151"/>
      <c r="Z12" s="1151"/>
      <c r="AA12" s="1151"/>
      <c r="AB12" s="1152"/>
      <c r="AC12" s="1153"/>
      <c r="AD12" s="1150"/>
      <c r="AE12" s="1150"/>
      <c r="AF12" s="1150"/>
      <c r="AG12" s="1150"/>
      <c r="AH12" s="1150"/>
      <c r="AI12" s="1150"/>
      <c r="AJ12" s="1150"/>
      <c r="AK12" s="1150"/>
      <c r="AL12" s="1150"/>
      <c r="AM12" s="1150"/>
      <c r="AN12" s="1150"/>
      <c r="AO12" s="1154"/>
      <c r="AP12" s="1153"/>
      <c r="AQ12" s="1150"/>
      <c r="AR12" s="1151"/>
      <c r="AS12" s="1151"/>
      <c r="AT12" s="1151"/>
      <c r="AU12" s="1151"/>
      <c r="AV12" s="1151"/>
      <c r="AW12" s="1151"/>
      <c r="AX12" s="1151"/>
      <c r="AY12" s="1151"/>
      <c r="AZ12" s="1151"/>
      <c r="BA12" s="1151"/>
      <c r="BB12" s="1152"/>
      <c r="BC12" s="1153"/>
      <c r="BD12" s="1150"/>
      <c r="BE12" s="1151"/>
      <c r="BF12" s="1151"/>
      <c r="BG12" s="1151"/>
      <c r="BH12" s="1151"/>
      <c r="BI12" s="1151"/>
      <c r="BJ12" s="1151"/>
      <c r="BK12" s="1151"/>
      <c r="BL12" s="1151"/>
      <c r="BM12" s="1151"/>
      <c r="BN12" s="1151"/>
      <c r="BO12" s="1152"/>
      <c r="BP12" s="1149"/>
      <c r="BR12" s="301" t="s">
        <v>1145</v>
      </c>
      <c r="BS12" s="212"/>
      <c r="BT12" s="212">
        <v>18658.631477708979</v>
      </c>
      <c r="BU12" s="212">
        <v>38138.242740437156</v>
      </c>
      <c r="BV12" s="212">
        <v>38977.284080726771</v>
      </c>
      <c r="BW12" s="212">
        <v>79669.568661005527</v>
      </c>
      <c r="BX12" s="286">
        <v>122133.44875732149</v>
      </c>
      <c r="BZ12" s="366" t="s">
        <v>1230</v>
      </c>
      <c r="CA12" s="361">
        <v>-219360.66495369768</v>
      </c>
      <c r="CB12" s="355">
        <v>77696.985783256183</v>
      </c>
      <c r="CC12" s="361">
        <v>377454.68141369324</v>
      </c>
      <c r="CD12" s="361">
        <v>802562.93892903836</v>
      </c>
      <c r="CE12" s="361">
        <v>1285482.5722891113</v>
      </c>
    </row>
    <row r="13" spans="2:83" ht="15" thickBot="1">
      <c r="B13" s="1119" t="s">
        <v>1144</v>
      </c>
      <c r="C13" s="312"/>
      <c r="D13" s="1122">
        <v>0</v>
      </c>
      <c r="E13" s="926">
        <v>0</v>
      </c>
      <c r="F13" s="926">
        <v>23518.623030713428</v>
      </c>
      <c r="G13" s="926">
        <v>21380.566391557659</v>
      </c>
      <c r="H13" s="926">
        <v>22449.594711135542</v>
      </c>
      <c r="I13" s="926">
        <v>21380.566391557659</v>
      </c>
      <c r="J13" s="926">
        <v>21915.080551346597</v>
      </c>
      <c r="K13" s="926">
        <v>24106.588606481258</v>
      </c>
      <c r="L13" s="926">
        <v>23010.834578913928</v>
      </c>
      <c r="M13" s="926">
        <v>23010.834578913928</v>
      </c>
      <c r="N13" s="926">
        <v>21915.080551346597</v>
      </c>
      <c r="O13" s="1123">
        <v>24106.588606481258</v>
      </c>
      <c r="P13" s="927">
        <v>226794.35799844784</v>
      </c>
      <c r="Q13" s="926">
        <v>48754.907313908603</v>
      </c>
      <c r="R13" s="926">
        <v>46433.245060865345</v>
      </c>
      <c r="S13" s="926">
        <v>51076.569566951875</v>
      </c>
      <c r="T13" s="926">
        <v>46433.245060865345</v>
      </c>
      <c r="U13" s="926">
        <v>48754.907313908603</v>
      </c>
      <c r="V13" s="926">
        <v>46433.245060865345</v>
      </c>
      <c r="W13" s="926">
        <v>49164.612417386837</v>
      </c>
      <c r="X13" s="926">
        <v>54081.073659125519</v>
      </c>
      <c r="Y13" s="926">
        <v>51622.843038256186</v>
      </c>
      <c r="Z13" s="926">
        <v>51622.843038256186</v>
      </c>
      <c r="AA13" s="926">
        <v>49164.612417386837</v>
      </c>
      <c r="AB13" s="928">
        <v>54081.073659125519</v>
      </c>
      <c r="AC13" s="927">
        <v>597623.17760690209</v>
      </c>
      <c r="AD13" s="926">
        <v>52758.545585097818</v>
      </c>
      <c r="AE13" s="1108">
        <v>50246.233890569347</v>
      </c>
      <c r="AF13" s="1108">
        <v>55270.857279626282</v>
      </c>
      <c r="AG13" s="1108">
        <v>50246.233890569347</v>
      </c>
      <c r="AH13" s="1108">
        <v>52758.545585097818</v>
      </c>
      <c r="AI13" s="1108">
        <v>50246.233890569347</v>
      </c>
      <c r="AJ13" s="1108">
        <v>50246.233890569347</v>
      </c>
      <c r="AK13" s="1108">
        <v>55270.857279626282</v>
      </c>
      <c r="AL13" s="1108">
        <v>52758.545585097818</v>
      </c>
      <c r="AM13" s="1108">
        <v>52758.545585097818</v>
      </c>
      <c r="AN13" s="1108">
        <v>50246.233890569347</v>
      </c>
      <c r="AO13" s="1109">
        <v>55270.857279626282</v>
      </c>
      <c r="AP13" s="927">
        <v>628077.92363211687</v>
      </c>
      <c r="AQ13" s="926">
        <v>101847.44122172105</v>
      </c>
      <c r="AR13" s="1108">
        <v>96997.563068305768</v>
      </c>
      <c r="AS13" s="1108">
        <v>106697.31937513634</v>
      </c>
      <c r="AT13" s="1108">
        <v>96997.563068305768</v>
      </c>
      <c r="AU13" s="1108">
        <v>101847.44122172105</v>
      </c>
      <c r="AV13" s="1108">
        <v>96997.563068305768</v>
      </c>
      <c r="AW13" s="1108">
        <v>96997.563068305768</v>
      </c>
      <c r="AX13" s="1108">
        <v>106697.31937513634</v>
      </c>
      <c r="AY13" s="1108">
        <v>101847.44122172105</v>
      </c>
      <c r="AZ13" s="1108">
        <v>101847.44122172105</v>
      </c>
      <c r="BA13" s="1108">
        <v>96997.563068305768</v>
      </c>
      <c r="BB13" s="1109">
        <v>106697.31937513634</v>
      </c>
      <c r="BC13" s="927">
        <v>1212469.538353822</v>
      </c>
      <c r="BD13" s="926">
        <v>146947.88460508082</v>
      </c>
      <c r="BE13" s="1108">
        <v>139950.36629055315</v>
      </c>
      <c r="BF13" s="1108">
        <v>153945.40291960849</v>
      </c>
      <c r="BG13" s="1108">
        <v>139950.36629055315</v>
      </c>
      <c r="BH13" s="1108">
        <v>146947.88460508082</v>
      </c>
      <c r="BI13" s="1108">
        <v>139950.36629055315</v>
      </c>
      <c r="BJ13" s="1108">
        <v>139950.36629055315</v>
      </c>
      <c r="BK13" s="1108">
        <v>153945.40291960849</v>
      </c>
      <c r="BL13" s="1108">
        <v>146947.88460508082</v>
      </c>
      <c r="BM13" s="1108">
        <v>146947.88460508082</v>
      </c>
      <c r="BN13" s="1108">
        <v>139950.36629055315</v>
      </c>
      <c r="BO13" s="1109">
        <v>153945.40291960849</v>
      </c>
      <c r="BP13" s="927">
        <v>1749379.5786319145</v>
      </c>
      <c r="BR13" s="301" t="s">
        <v>1146</v>
      </c>
      <c r="BS13" s="212"/>
      <c r="BT13" s="212">
        <v>44912.78119842973</v>
      </c>
      <c r="BU13" s="212">
        <v>86284.845415974414</v>
      </c>
      <c r="BV13" s="212">
        <v>93648.277389880968</v>
      </c>
      <c r="BW13" s="212">
        <v>98264.06104378005</v>
      </c>
      <c r="BX13" s="286">
        <v>144840.13536271825</v>
      </c>
      <c r="BZ13" s="237" t="s">
        <v>1231</v>
      </c>
      <c r="CA13" s="368">
        <v>453742.91999999987</v>
      </c>
      <c r="CB13" s="300">
        <v>60566.879999999983</v>
      </c>
      <c r="CC13" s="362">
        <v>60566.879999999983</v>
      </c>
      <c r="CD13" s="362">
        <v>60566.879999999983</v>
      </c>
      <c r="CE13" s="362">
        <v>0</v>
      </c>
    </row>
    <row r="14" spans="2:83" ht="15" thickBot="1">
      <c r="B14" s="1380" t="s">
        <v>1145</v>
      </c>
      <c r="C14" s="463" t="s">
        <v>675</v>
      </c>
      <c r="D14" s="1143">
        <v>1554.8859564757483</v>
      </c>
      <c r="E14" s="930">
        <v>1554.8859564757483</v>
      </c>
      <c r="F14" s="930">
        <v>1554.8859564757483</v>
      </c>
      <c r="G14" s="930">
        <v>1554.8859564757483</v>
      </c>
      <c r="H14" s="930">
        <v>1554.8859564757483</v>
      </c>
      <c r="I14" s="930">
        <v>1554.8859564757483</v>
      </c>
      <c r="J14" s="930">
        <v>1554.8859564757483</v>
      </c>
      <c r="K14" s="930">
        <v>1554.8859564757483</v>
      </c>
      <c r="L14" s="930">
        <v>1554.8859564757483</v>
      </c>
      <c r="M14" s="930">
        <v>1554.8859564757483</v>
      </c>
      <c r="N14" s="930">
        <v>1554.8859564757483</v>
      </c>
      <c r="O14" s="1144">
        <v>1554.8859564757483</v>
      </c>
      <c r="P14" s="1141">
        <v>18658.631477708976</v>
      </c>
      <c r="Q14" s="930">
        <v>3178.1868950364296</v>
      </c>
      <c r="R14" s="930">
        <v>3178.1868950364296</v>
      </c>
      <c r="S14" s="930">
        <v>3178.1868950364296</v>
      </c>
      <c r="T14" s="930">
        <v>3178.1868950364296</v>
      </c>
      <c r="U14" s="930">
        <v>3178.1868950364296</v>
      </c>
      <c r="V14" s="930">
        <v>3178.1868950364296</v>
      </c>
      <c r="W14" s="930">
        <v>3178.1868950364296</v>
      </c>
      <c r="X14" s="930">
        <v>3178.1868950364296</v>
      </c>
      <c r="Y14" s="930">
        <v>3178.1868950364296</v>
      </c>
      <c r="Z14" s="930">
        <v>3178.1868950364296</v>
      </c>
      <c r="AA14" s="930">
        <v>3178.1868950364296</v>
      </c>
      <c r="AB14" s="978">
        <v>3178.1868950364296</v>
      </c>
      <c r="AC14" s="1141">
        <v>38138.242740437156</v>
      </c>
      <c r="AD14" s="1139">
        <v>3248.1070067272308</v>
      </c>
      <c r="AE14" s="1139">
        <v>3248.1070067272308</v>
      </c>
      <c r="AF14" s="1139">
        <v>3248.1070067272308</v>
      </c>
      <c r="AG14" s="1139">
        <v>3248.1070067272308</v>
      </c>
      <c r="AH14" s="1139">
        <v>3248.1070067272308</v>
      </c>
      <c r="AI14" s="1139">
        <v>3248.1070067272308</v>
      </c>
      <c r="AJ14" s="1139">
        <v>3248.1070067272308</v>
      </c>
      <c r="AK14" s="1139">
        <v>3248.1070067272308</v>
      </c>
      <c r="AL14" s="1139">
        <v>3248.1070067272308</v>
      </c>
      <c r="AM14" s="1139">
        <v>3248.1070067272308</v>
      </c>
      <c r="AN14" s="1139">
        <v>3248.1070067272308</v>
      </c>
      <c r="AO14" s="1140">
        <v>3248.1070067272308</v>
      </c>
      <c r="AP14" s="1141">
        <v>38977.284080726771</v>
      </c>
      <c r="AQ14" s="930">
        <v>6639.1307217504609</v>
      </c>
      <c r="AR14" s="930">
        <v>6639.1307217504609</v>
      </c>
      <c r="AS14" s="930">
        <v>6639.1307217504609</v>
      </c>
      <c r="AT14" s="930">
        <v>6639.1307217504609</v>
      </c>
      <c r="AU14" s="930">
        <v>6639.1307217504609</v>
      </c>
      <c r="AV14" s="930">
        <v>6639.1307217504609</v>
      </c>
      <c r="AW14" s="930">
        <v>6639.1307217504609</v>
      </c>
      <c r="AX14" s="930">
        <v>6639.1307217504609</v>
      </c>
      <c r="AY14" s="930">
        <v>6639.1307217504609</v>
      </c>
      <c r="AZ14" s="930">
        <v>6639.1307217504609</v>
      </c>
      <c r="BA14" s="930">
        <v>6639.1307217504609</v>
      </c>
      <c r="BB14" s="978">
        <v>6639.1307217504609</v>
      </c>
      <c r="BC14" s="1141">
        <v>79669.568661005527</v>
      </c>
      <c r="BD14" s="930">
        <v>10177.787396443457</v>
      </c>
      <c r="BE14" s="930">
        <v>10177.787396443457</v>
      </c>
      <c r="BF14" s="930">
        <v>10177.787396443457</v>
      </c>
      <c r="BG14" s="930">
        <v>10177.787396443457</v>
      </c>
      <c r="BH14" s="930">
        <v>10177.787396443457</v>
      </c>
      <c r="BI14" s="930">
        <v>10177.787396443457</v>
      </c>
      <c r="BJ14" s="930">
        <v>10177.787396443457</v>
      </c>
      <c r="BK14" s="930">
        <v>10177.787396443457</v>
      </c>
      <c r="BL14" s="930">
        <v>10177.787396443457</v>
      </c>
      <c r="BM14" s="930">
        <v>10177.787396443457</v>
      </c>
      <c r="BN14" s="930">
        <v>10177.787396443457</v>
      </c>
      <c r="BO14" s="978">
        <v>10177.787396443457</v>
      </c>
      <c r="BP14" s="1141">
        <v>122133.44875732147</v>
      </c>
      <c r="BR14" s="301" t="s">
        <v>1180</v>
      </c>
      <c r="BS14" s="212"/>
      <c r="BT14" s="212">
        <v>218373.61584121309</v>
      </c>
      <c r="BU14" s="212">
        <v>241310.28757974753</v>
      </c>
      <c r="BV14" s="212">
        <v>308591.53211528005</v>
      </c>
      <c r="BW14" s="212">
        <v>347206.44827780308</v>
      </c>
      <c r="BX14" s="286">
        <v>376738.75564413966</v>
      </c>
      <c r="BZ14" s="237" t="s">
        <v>1232</v>
      </c>
      <c r="CA14" s="363">
        <v>3513.5568480926649</v>
      </c>
      <c r="CB14" s="356">
        <v>15724.428615499177</v>
      </c>
      <c r="CC14" s="363">
        <v>26377.890181257539</v>
      </c>
      <c r="CD14" s="363">
        <v>39235.874132085934</v>
      </c>
      <c r="CE14" s="363">
        <v>54591.783005905469</v>
      </c>
    </row>
    <row r="15" spans="2:83">
      <c r="B15" s="1739" t="s">
        <v>1146</v>
      </c>
      <c r="C15" s="313" t="s">
        <v>676</v>
      </c>
      <c r="D15" s="958">
        <v>1624.4423187882423</v>
      </c>
      <c r="E15" s="931">
        <v>1624.4423187882423</v>
      </c>
      <c r="F15" s="931">
        <v>1624.4423187882423</v>
      </c>
      <c r="G15" s="931">
        <v>1624.4423187882423</v>
      </c>
      <c r="H15" s="931">
        <v>1624.4423187882423</v>
      </c>
      <c r="I15" s="931">
        <v>1624.4423187882423</v>
      </c>
      <c r="J15" s="931">
        <v>1624.4423187882423</v>
      </c>
      <c r="K15" s="931">
        <v>1624.4423187882423</v>
      </c>
      <c r="L15" s="931">
        <v>1624.4423187882423</v>
      </c>
      <c r="M15" s="931">
        <v>1624.4423187882423</v>
      </c>
      <c r="N15" s="931">
        <v>1624.4423187882423</v>
      </c>
      <c r="O15" s="1124">
        <v>1624.4423187882423</v>
      </c>
      <c r="P15" s="932">
        <v>19493.307825458909</v>
      </c>
      <c r="Q15" s="931">
        <v>3320.3600996031673</v>
      </c>
      <c r="R15" s="931">
        <v>3320.3600996031673</v>
      </c>
      <c r="S15" s="931">
        <v>3320.3600996031673</v>
      </c>
      <c r="T15" s="931">
        <v>3320.3600996031673</v>
      </c>
      <c r="U15" s="931">
        <v>3320.3600996031673</v>
      </c>
      <c r="V15" s="931">
        <v>3320.3600996031673</v>
      </c>
      <c r="W15" s="931">
        <v>3320.3600996031673</v>
      </c>
      <c r="X15" s="931">
        <v>3320.3600996031673</v>
      </c>
      <c r="Y15" s="931">
        <v>3320.3600996031673</v>
      </c>
      <c r="Z15" s="931">
        <v>3320.3600996031673</v>
      </c>
      <c r="AA15" s="931">
        <v>3320.3600996031673</v>
      </c>
      <c r="AB15" s="944">
        <v>3320.3600996031673</v>
      </c>
      <c r="AC15" s="932">
        <v>39844.321195238008</v>
      </c>
      <c r="AD15" s="933">
        <v>3393.408021794437</v>
      </c>
      <c r="AE15" s="933">
        <v>3393.408021794437</v>
      </c>
      <c r="AF15" s="933">
        <v>3393.408021794437</v>
      </c>
      <c r="AG15" s="933">
        <v>3393.408021794437</v>
      </c>
      <c r="AH15" s="933">
        <v>3393.408021794437</v>
      </c>
      <c r="AI15" s="933">
        <v>3393.408021794437</v>
      </c>
      <c r="AJ15" s="933">
        <v>3393.408021794437</v>
      </c>
      <c r="AK15" s="933">
        <v>3393.408021794437</v>
      </c>
      <c r="AL15" s="933">
        <v>3393.408021794437</v>
      </c>
      <c r="AM15" s="933">
        <v>3393.408021794437</v>
      </c>
      <c r="AN15" s="933">
        <v>3393.408021794437</v>
      </c>
      <c r="AO15" s="973">
        <v>3393.408021794437</v>
      </c>
      <c r="AP15" s="932">
        <v>40720.896261533235</v>
      </c>
      <c r="AQ15" s="931">
        <v>3468.0629982739147</v>
      </c>
      <c r="AR15" s="931">
        <v>3468.0629982739147</v>
      </c>
      <c r="AS15" s="931">
        <v>3468.0629982739147</v>
      </c>
      <c r="AT15" s="931">
        <v>3468.0629982739147</v>
      </c>
      <c r="AU15" s="931">
        <v>3468.0629982739147</v>
      </c>
      <c r="AV15" s="931">
        <v>3468.0629982739147</v>
      </c>
      <c r="AW15" s="931">
        <v>3468.0629982739147</v>
      </c>
      <c r="AX15" s="931">
        <v>3468.0629982739147</v>
      </c>
      <c r="AY15" s="931">
        <v>3468.0629982739147</v>
      </c>
      <c r="AZ15" s="931">
        <v>3468.0629982739147</v>
      </c>
      <c r="BA15" s="931">
        <v>3468.0629982739147</v>
      </c>
      <c r="BB15" s="944">
        <v>3468.0629982739147</v>
      </c>
      <c r="BC15" s="932">
        <v>41616.755979286972</v>
      </c>
      <c r="BD15" s="931">
        <v>5316.5405763539111</v>
      </c>
      <c r="BE15" s="931">
        <v>5316.5405763539111</v>
      </c>
      <c r="BF15" s="931">
        <v>5316.5405763539111</v>
      </c>
      <c r="BG15" s="931">
        <v>5316.5405763539111</v>
      </c>
      <c r="BH15" s="931">
        <v>5316.5405763539111</v>
      </c>
      <c r="BI15" s="931">
        <v>5316.5405763539111</v>
      </c>
      <c r="BJ15" s="931">
        <v>5316.5405763539111</v>
      </c>
      <c r="BK15" s="931">
        <v>5316.5405763539111</v>
      </c>
      <c r="BL15" s="931">
        <v>5316.5405763539111</v>
      </c>
      <c r="BM15" s="931">
        <v>5316.5405763539111</v>
      </c>
      <c r="BN15" s="931">
        <v>5316.5405763539111</v>
      </c>
      <c r="BO15" s="944">
        <v>5316.5405763539111</v>
      </c>
      <c r="BP15" s="932">
        <v>63798.486916246919</v>
      </c>
      <c r="BR15" s="315" t="s">
        <v>1181</v>
      </c>
      <c r="BS15" s="212"/>
      <c r="BT15" s="212">
        <v>0</v>
      </c>
      <c r="BU15" s="212">
        <v>0</v>
      </c>
      <c r="BV15" s="212">
        <v>0</v>
      </c>
      <c r="BW15" s="212">
        <v>123437.06702603493</v>
      </c>
      <c r="BX15" s="286">
        <v>2082.2121270406287</v>
      </c>
      <c r="BZ15" s="366" t="s">
        <v>1233</v>
      </c>
      <c r="CA15" s="361">
        <v>-676617.14180179022</v>
      </c>
      <c r="CB15" s="1254">
        <v>1405.6771677570232</v>
      </c>
      <c r="CC15" s="1254">
        <v>290509.91123243567</v>
      </c>
      <c r="CD15" s="1254">
        <v>702760.18479695241</v>
      </c>
      <c r="CE15" s="1254">
        <v>1230890.7892832058</v>
      </c>
    </row>
    <row r="16" spans="2:83" ht="15" thickBot="1">
      <c r="B16" s="1740"/>
      <c r="C16" s="462" t="s">
        <v>1147</v>
      </c>
      <c r="D16" s="965">
        <v>0</v>
      </c>
      <c r="E16" s="946">
        <v>0</v>
      </c>
      <c r="F16" s="946">
        <v>1337.9018630998264</v>
      </c>
      <c r="G16" s="946">
        <v>1216.2744209998421</v>
      </c>
      <c r="H16" s="946">
        <v>1277.0881420498342</v>
      </c>
      <c r="I16" s="946">
        <v>1216.2744209998421</v>
      </c>
      <c r="J16" s="946">
        <v>1246.6812815248379</v>
      </c>
      <c r="K16" s="946">
        <v>1371.3494096773218</v>
      </c>
      <c r="L16" s="946">
        <v>1309.0153456010798</v>
      </c>
      <c r="M16" s="946">
        <v>1309.0153456010798</v>
      </c>
      <c r="N16" s="946">
        <v>1246.6812815248379</v>
      </c>
      <c r="O16" s="1125">
        <v>1371.3494096773218</v>
      </c>
      <c r="P16" s="920">
        <v>12901.630920755822</v>
      </c>
      <c r="Q16" s="946">
        <v>791.46702766670614</v>
      </c>
      <c r="R16" s="965">
        <v>753.77812158733934</v>
      </c>
      <c r="S16" s="965">
        <v>829.15593374607317</v>
      </c>
      <c r="T16" s="965">
        <v>753.77812158733934</v>
      </c>
      <c r="U16" s="965">
        <v>791.46702766670614</v>
      </c>
      <c r="V16" s="965">
        <v>753.77812158733934</v>
      </c>
      <c r="W16" s="965">
        <v>798.11801109247688</v>
      </c>
      <c r="X16" s="965">
        <v>877.92981220172464</v>
      </c>
      <c r="Y16" s="965">
        <v>838.02391164710082</v>
      </c>
      <c r="Z16" s="965">
        <v>838.02391164710082</v>
      </c>
      <c r="AA16" s="965">
        <v>798.11801109247688</v>
      </c>
      <c r="AB16" s="966">
        <v>877.92981220172464</v>
      </c>
      <c r="AC16" s="920">
        <v>9701.5678237241082</v>
      </c>
      <c r="AD16" s="950">
        <v>892.18565990206741</v>
      </c>
      <c r="AE16" s="950">
        <v>849.70062847815939</v>
      </c>
      <c r="AF16" s="950">
        <v>934.67069132597533</v>
      </c>
      <c r="AG16" s="950">
        <v>849.70062847815939</v>
      </c>
      <c r="AH16" s="950">
        <v>892.18565990206741</v>
      </c>
      <c r="AI16" s="950">
        <v>849.70062847815939</v>
      </c>
      <c r="AJ16" s="950">
        <v>849.70062847815939</v>
      </c>
      <c r="AK16" s="950">
        <v>934.67069132597533</v>
      </c>
      <c r="AL16" s="950">
        <v>892.18565990206741</v>
      </c>
      <c r="AM16" s="950">
        <v>892.18565990206741</v>
      </c>
      <c r="AN16" s="950">
        <v>849.70062847815939</v>
      </c>
      <c r="AO16" s="967">
        <v>934.67069132597533</v>
      </c>
      <c r="AP16" s="920">
        <v>10621.257855976992</v>
      </c>
      <c r="AQ16" s="946">
        <v>1451.3034003274622</v>
      </c>
      <c r="AR16" s="965">
        <v>1382.193714597583</v>
      </c>
      <c r="AS16" s="965">
        <v>1520.4130860573414</v>
      </c>
      <c r="AT16" s="965">
        <v>1382.193714597583</v>
      </c>
      <c r="AU16" s="965">
        <v>1451.3034003274622</v>
      </c>
      <c r="AV16" s="965">
        <v>1382.193714597583</v>
      </c>
      <c r="AW16" s="965">
        <v>1382.193714597583</v>
      </c>
      <c r="AX16" s="965">
        <v>1520.4130860573414</v>
      </c>
      <c r="AY16" s="965">
        <v>1451.3034003274622</v>
      </c>
      <c r="AZ16" s="965">
        <v>1451.3034003274622</v>
      </c>
      <c r="BA16" s="965">
        <v>1382.193714597583</v>
      </c>
      <c r="BB16" s="966">
        <v>1520.4130860573414</v>
      </c>
      <c r="BC16" s="920">
        <v>17277.42143246979</v>
      </c>
      <c r="BD16" s="946">
        <v>1859.5725473172342</v>
      </c>
      <c r="BE16" s="946">
        <v>1771.021473635461</v>
      </c>
      <c r="BF16" s="946">
        <v>1948.1236209990072</v>
      </c>
      <c r="BG16" s="946">
        <v>1771.021473635461</v>
      </c>
      <c r="BH16" s="946">
        <v>1859.5725473172342</v>
      </c>
      <c r="BI16" s="946">
        <v>1771.021473635461</v>
      </c>
      <c r="BJ16" s="946">
        <v>1771.021473635461</v>
      </c>
      <c r="BK16" s="946">
        <v>1948.1236209990072</v>
      </c>
      <c r="BL16" s="946">
        <v>1859.5725473172342</v>
      </c>
      <c r="BM16" s="946">
        <v>1859.5725473172342</v>
      </c>
      <c r="BN16" s="946">
        <v>1771.021473635461</v>
      </c>
      <c r="BO16" s="949">
        <v>1948.1236209990072</v>
      </c>
      <c r="BP16" s="920">
        <v>22137.768420443263</v>
      </c>
      <c r="BR16" s="315" t="s">
        <v>1182</v>
      </c>
      <c r="BS16" s="879"/>
      <c r="BT16" s="879">
        <v>453742.91999999987</v>
      </c>
      <c r="BU16" s="879">
        <v>60566.879999999983</v>
      </c>
      <c r="BV16" s="879">
        <v>60566.879999999983</v>
      </c>
      <c r="BW16" s="879">
        <v>60566.879999999983</v>
      </c>
      <c r="BX16" s="1165">
        <v>0</v>
      </c>
      <c r="BZ16" s="237" t="s">
        <v>1161</v>
      </c>
      <c r="CA16" s="368">
        <v>0</v>
      </c>
      <c r="CB16" s="368">
        <v>351.4192919392558</v>
      </c>
      <c r="CC16" s="368">
        <v>0</v>
      </c>
      <c r="CD16" s="368">
        <v>0</v>
      </c>
      <c r="CE16" s="368">
        <v>0</v>
      </c>
    </row>
    <row r="17" spans="2:83">
      <c r="B17" s="1727" t="s">
        <v>1148</v>
      </c>
      <c r="C17" s="313" t="s">
        <v>1149</v>
      </c>
      <c r="D17" s="958">
        <v>2826.0674625935167</v>
      </c>
      <c r="E17" s="938">
        <v>2826.0674625935167</v>
      </c>
      <c r="F17" s="938">
        <v>2826.0674625935167</v>
      </c>
      <c r="G17" s="938">
        <v>2826.0674625935167</v>
      </c>
      <c r="H17" s="938">
        <v>2826.0674625935167</v>
      </c>
      <c r="I17" s="938">
        <v>2826.0674625935167</v>
      </c>
      <c r="J17" s="938">
        <v>2826.0674625935167</v>
      </c>
      <c r="K17" s="938">
        <v>2826.0674625935167</v>
      </c>
      <c r="L17" s="938">
        <v>2826.0674625935167</v>
      </c>
      <c r="M17" s="938">
        <v>2826.0674625935167</v>
      </c>
      <c r="N17" s="938">
        <v>2826.0674625935167</v>
      </c>
      <c r="O17" s="1126">
        <v>2826.0674625935167</v>
      </c>
      <c r="P17" s="932">
        <v>33912.809551122198</v>
      </c>
      <c r="Q17" s="931">
        <v>2888.2409467705743</v>
      </c>
      <c r="R17" s="938">
        <v>2888.2409467705743</v>
      </c>
      <c r="S17" s="938">
        <v>2888.2409467705743</v>
      </c>
      <c r="T17" s="938">
        <v>2888.2409467705743</v>
      </c>
      <c r="U17" s="938">
        <v>2888.2409467705743</v>
      </c>
      <c r="V17" s="938">
        <v>2888.2409467705743</v>
      </c>
      <c r="W17" s="938">
        <v>2888.2409467705743</v>
      </c>
      <c r="X17" s="938">
        <v>2888.2409467705743</v>
      </c>
      <c r="Y17" s="938">
        <v>2888.2409467705743</v>
      </c>
      <c r="Z17" s="938">
        <v>2888.2409467705743</v>
      </c>
      <c r="AA17" s="938">
        <v>2888.2409467705743</v>
      </c>
      <c r="AB17" s="939">
        <v>2888.2409467705743</v>
      </c>
      <c r="AC17" s="932">
        <v>34658.891361246882</v>
      </c>
      <c r="AD17" s="933">
        <v>2951.7822475995267</v>
      </c>
      <c r="AE17" s="969">
        <v>2951.7822475995267</v>
      </c>
      <c r="AF17" s="969">
        <v>2951.7822475995267</v>
      </c>
      <c r="AG17" s="969">
        <v>2951.7822475995267</v>
      </c>
      <c r="AH17" s="969">
        <v>2951.7822475995267</v>
      </c>
      <c r="AI17" s="969">
        <v>2951.7822475995267</v>
      </c>
      <c r="AJ17" s="969">
        <v>2951.7822475995267</v>
      </c>
      <c r="AK17" s="969">
        <v>2951.7822475995267</v>
      </c>
      <c r="AL17" s="969">
        <v>2951.7822475995267</v>
      </c>
      <c r="AM17" s="969">
        <v>2951.7822475995267</v>
      </c>
      <c r="AN17" s="969">
        <v>2951.7822475995267</v>
      </c>
      <c r="AO17" s="974">
        <v>2951.7822475995267</v>
      </c>
      <c r="AP17" s="932">
        <v>35421.386971194319</v>
      </c>
      <c r="AQ17" s="931">
        <v>3016.7214570467168</v>
      </c>
      <c r="AR17" s="938">
        <v>3016.7214570467168</v>
      </c>
      <c r="AS17" s="938">
        <v>3016.7214570467168</v>
      </c>
      <c r="AT17" s="938">
        <v>3016.7214570467168</v>
      </c>
      <c r="AU17" s="938">
        <v>3016.7214570467168</v>
      </c>
      <c r="AV17" s="938">
        <v>3016.7214570467168</v>
      </c>
      <c r="AW17" s="938">
        <v>3016.7214570467168</v>
      </c>
      <c r="AX17" s="938">
        <v>3016.7214570467168</v>
      </c>
      <c r="AY17" s="938">
        <v>3016.7214570467168</v>
      </c>
      <c r="AZ17" s="938">
        <v>3016.7214570467168</v>
      </c>
      <c r="BA17" s="938">
        <v>3016.7214570467168</v>
      </c>
      <c r="BB17" s="939">
        <v>3016.7214570467168</v>
      </c>
      <c r="BC17" s="932">
        <v>36200.657484560608</v>
      </c>
      <c r="BD17" s="931">
        <v>3083.0893291017446</v>
      </c>
      <c r="BE17" s="938">
        <v>3083.0893291017446</v>
      </c>
      <c r="BF17" s="938">
        <v>3083.0893291017446</v>
      </c>
      <c r="BG17" s="938">
        <v>3083.0893291017446</v>
      </c>
      <c r="BH17" s="938">
        <v>3083.0893291017446</v>
      </c>
      <c r="BI17" s="938">
        <v>3083.0893291017446</v>
      </c>
      <c r="BJ17" s="938">
        <v>3083.0893291017446</v>
      </c>
      <c r="BK17" s="938">
        <v>3083.0893291017446</v>
      </c>
      <c r="BL17" s="938">
        <v>3083.0893291017446</v>
      </c>
      <c r="BM17" s="938">
        <v>3083.0893291017446</v>
      </c>
      <c r="BN17" s="938">
        <v>3083.0893291017446</v>
      </c>
      <c r="BO17" s="939">
        <v>3083.0893291017446</v>
      </c>
      <c r="BP17" s="932">
        <v>36997.071949220939</v>
      </c>
      <c r="BR17" s="301" t="s">
        <v>1161</v>
      </c>
      <c r="BS17" s="879"/>
      <c r="BT17" s="212">
        <v>0</v>
      </c>
      <c r="BU17" s="212">
        <v>351.4192919392558</v>
      </c>
      <c r="BV17" s="212">
        <v>0</v>
      </c>
      <c r="BW17" s="212">
        <v>0</v>
      </c>
      <c r="BX17" s="286">
        <v>0</v>
      </c>
      <c r="BZ17" s="237" t="s">
        <v>1162</v>
      </c>
      <c r="CA17" s="368">
        <v>0</v>
      </c>
      <c r="CB17" s="368">
        <v>0</v>
      </c>
      <c r="CC17" s="368">
        <v>85422.873369730703</v>
      </c>
      <c r="CD17" s="368">
        <v>0</v>
      </c>
      <c r="CE17" s="368">
        <v>0</v>
      </c>
    </row>
    <row r="18" spans="2:83">
      <c r="B18" s="1728"/>
      <c r="C18" s="274" t="s">
        <v>1150</v>
      </c>
      <c r="D18" s="961">
        <v>2597.9988603491274</v>
      </c>
      <c r="E18" s="929">
        <v>2597.9988603491274</v>
      </c>
      <c r="F18" s="929">
        <v>2597.9988603491274</v>
      </c>
      <c r="G18" s="929">
        <v>2597.9988603491274</v>
      </c>
      <c r="H18" s="929">
        <v>2597.9988603491274</v>
      </c>
      <c r="I18" s="929">
        <v>2597.9988603491274</v>
      </c>
      <c r="J18" s="929">
        <v>2597.9988603491274</v>
      </c>
      <c r="K18" s="929">
        <v>2597.9988603491274</v>
      </c>
      <c r="L18" s="929">
        <v>2597.9988603491274</v>
      </c>
      <c r="M18" s="929">
        <v>2597.9988603491274</v>
      </c>
      <c r="N18" s="929">
        <v>2597.9988603491274</v>
      </c>
      <c r="O18" s="1127">
        <v>2597.9988603491274</v>
      </c>
      <c r="P18" s="943">
        <v>31175.986324189536</v>
      </c>
      <c r="Q18" s="941">
        <v>2655.1548352768082</v>
      </c>
      <c r="R18" s="929">
        <v>2655.1548352768082</v>
      </c>
      <c r="S18" s="929">
        <v>2655.1548352768082</v>
      </c>
      <c r="T18" s="929">
        <v>2655.1548352768082</v>
      </c>
      <c r="U18" s="929">
        <v>2655.1548352768082</v>
      </c>
      <c r="V18" s="929">
        <v>2655.1548352768082</v>
      </c>
      <c r="W18" s="929">
        <v>2655.1548352768082</v>
      </c>
      <c r="X18" s="929">
        <v>2655.1548352768082</v>
      </c>
      <c r="Y18" s="929">
        <v>2655.1548352768082</v>
      </c>
      <c r="Z18" s="929">
        <v>2655.1548352768082</v>
      </c>
      <c r="AA18" s="929">
        <v>2655.1548352768082</v>
      </c>
      <c r="AB18" s="942">
        <v>2655.1548352768082</v>
      </c>
      <c r="AC18" s="943">
        <v>31861.858023321696</v>
      </c>
      <c r="AD18" s="921">
        <v>2713.568241652898</v>
      </c>
      <c r="AE18" s="968">
        <v>2713.568241652898</v>
      </c>
      <c r="AF18" s="968">
        <v>2713.568241652898</v>
      </c>
      <c r="AG18" s="968">
        <v>2713.568241652898</v>
      </c>
      <c r="AH18" s="968">
        <v>2713.568241652898</v>
      </c>
      <c r="AI18" s="968">
        <v>2713.568241652898</v>
      </c>
      <c r="AJ18" s="968">
        <v>2713.568241652898</v>
      </c>
      <c r="AK18" s="968">
        <v>2713.568241652898</v>
      </c>
      <c r="AL18" s="968">
        <v>2713.568241652898</v>
      </c>
      <c r="AM18" s="968">
        <v>2713.568241652898</v>
      </c>
      <c r="AN18" s="968">
        <v>2713.568241652898</v>
      </c>
      <c r="AO18" s="975">
        <v>2713.568241652898</v>
      </c>
      <c r="AP18" s="943">
        <v>32562.818899834776</v>
      </c>
      <c r="AQ18" s="941">
        <v>2773.2667429692615</v>
      </c>
      <c r="AR18" s="929">
        <v>2773.2667429692615</v>
      </c>
      <c r="AS18" s="929">
        <v>2773.2667429692615</v>
      </c>
      <c r="AT18" s="929">
        <v>2773.2667429692615</v>
      </c>
      <c r="AU18" s="929">
        <v>2773.2667429692615</v>
      </c>
      <c r="AV18" s="929">
        <v>2773.2667429692615</v>
      </c>
      <c r="AW18" s="929">
        <v>2773.2667429692615</v>
      </c>
      <c r="AX18" s="929">
        <v>2773.2667429692615</v>
      </c>
      <c r="AY18" s="929">
        <v>2773.2667429692615</v>
      </c>
      <c r="AZ18" s="929">
        <v>2773.2667429692615</v>
      </c>
      <c r="BA18" s="929">
        <v>2773.2667429692615</v>
      </c>
      <c r="BB18" s="942">
        <v>2773.2667429692615</v>
      </c>
      <c r="BC18" s="943">
        <v>33279.200915631147</v>
      </c>
      <c r="BD18" s="941">
        <v>2834.2786113145853</v>
      </c>
      <c r="BE18" s="929">
        <v>2834.2786113145853</v>
      </c>
      <c r="BF18" s="929">
        <v>2834.2786113145853</v>
      </c>
      <c r="BG18" s="929">
        <v>2834.2786113145853</v>
      </c>
      <c r="BH18" s="929">
        <v>2834.2786113145853</v>
      </c>
      <c r="BI18" s="929">
        <v>2834.2786113145853</v>
      </c>
      <c r="BJ18" s="929">
        <v>2834.2786113145853</v>
      </c>
      <c r="BK18" s="929">
        <v>2834.2786113145853</v>
      </c>
      <c r="BL18" s="929">
        <v>2834.2786113145853</v>
      </c>
      <c r="BM18" s="929">
        <v>2834.2786113145853</v>
      </c>
      <c r="BN18" s="929">
        <v>2834.2786113145853</v>
      </c>
      <c r="BO18" s="942">
        <v>2834.2786113145853</v>
      </c>
      <c r="BP18" s="943">
        <v>34011.343335775025</v>
      </c>
      <c r="BR18" s="301" t="s">
        <v>1162</v>
      </c>
      <c r="BS18" s="212"/>
      <c r="BT18" s="212">
        <v>0</v>
      </c>
      <c r="BU18" s="212">
        <v>0</v>
      </c>
      <c r="BV18" s="212">
        <v>85422.873369730703</v>
      </c>
      <c r="BW18" s="212">
        <v>0</v>
      </c>
      <c r="BX18" s="286">
        <v>0</v>
      </c>
      <c r="BZ18" s="237" t="s">
        <v>1163</v>
      </c>
      <c r="CA18" s="368">
        <v>0</v>
      </c>
      <c r="CB18" s="368">
        <v>0</v>
      </c>
      <c r="CC18" s="368">
        <v>0</v>
      </c>
      <c r="CD18" s="368">
        <v>226926.56467893336</v>
      </c>
      <c r="CE18" s="368">
        <v>411772.27624912199</v>
      </c>
    </row>
    <row r="19" spans="2:83">
      <c r="B19" s="1728"/>
      <c r="C19" s="274" t="s">
        <v>1151</v>
      </c>
      <c r="D19" s="961">
        <v>0</v>
      </c>
      <c r="E19" s="929">
        <v>0</v>
      </c>
      <c r="F19" s="929">
        <v>0</v>
      </c>
      <c r="G19" s="929">
        <v>0</v>
      </c>
      <c r="H19" s="929">
        <v>0</v>
      </c>
      <c r="I19" s="929">
        <v>0</v>
      </c>
      <c r="J19" s="929">
        <v>0</v>
      </c>
      <c r="K19" s="929">
        <v>0</v>
      </c>
      <c r="L19" s="929">
        <v>0</v>
      </c>
      <c r="M19" s="929">
        <v>0</v>
      </c>
      <c r="N19" s="929">
        <v>0</v>
      </c>
      <c r="O19" s="1127">
        <v>0</v>
      </c>
      <c r="P19" s="943">
        <v>0</v>
      </c>
      <c r="Q19" s="941">
        <v>0</v>
      </c>
      <c r="R19" s="929">
        <v>0</v>
      </c>
      <c r="S19" s="929">
        <v>0</v>
      </c>
      <c r="T19" s="929">
        <v>0</v>
      </c>
      <c r="U19" s="929">
        <v>0</v>
      </c>
      <c r="V19" s="929">
        <v>0</v>
      </c>
      <c r="W19" s="929">
        <v>0</v>
      </c>
      <c r="X19" s="929">
        <v>0</v>
      </c>
      <c r="Y19" s="929">
        <v>0</v>
      </c>
      <c r="Z19" s="929">
        <v>0</v>
      </c>
      <c r="AA19" s="929">
        <v>0</v>
      </c>
      <c r="AB19" s="942">
        <v>0</v>
      </c>
      <c r="AC19" s="943">
        <v>0</v>
      </c>
      <c r="AD19" s="921">
        <v>2713.568241652898</v>
      </c>
      <c r="AE19" s="968">
        <v>2713.568241652898</v>
      </c>
      <c r="AF19" s="968">
        <v>2713.568241652898</v>
      </c>
      <c r="AG19" s="968">
        <v>2713.568241652898</v>
      </c>
      <c r="AH19" s="968">
        <v>2713.568241652898</v>
      </c>
      <c r="AI19" s="968">
        <v>2713.568241652898</v>
      </c>
      <c r="AJ19" s="968">
        <v>2713.568241652898</v>
      </c>
      <c r="AK19" s="968">
        <v>2713.568241652898</v>
      </c>
      <c r="AL19" s="968">
        <v>2713.568241652898</v>
      </c>
      <c r="AM19" s="968">
        <v>2713.568241652898</v>
      </c>
      <c r="AN19" s="968">
        <v>2713.568241652898</v>
      </c>
      <c r="AO19" s="975">
        <v>2713.568241652898</v>
      </c>
      <c r="AP19" s="943">
        <v>32562.818899834776</v>
      </c>
      <c r="AQ19" s="941">
        <v>2773.2667429692615</v>
      </c>
      <c r="AR19" s="929">
        <v>2773.2667429692615</v>
      </c>
      <c r="AS19" s="929">
        <v>2773.2667429692615</v>
      </c>
      <c r="AT19" s="929">
        <v>2773.2667429692615</v>
      </c>
      <c r="AU19" s="929">
        <v>2773.2667429692615</v>
      </c>
      <c r="AV19" s="929">
        <v>2773.2667429692615</v>
      </c>
      <c r="AW19" s="929">
        <v>2773.2667429692615</v>
      </c>
      <c r="AX19" s="929">
        <v>2773.2667429692615</v>
      </c>
      <c r="AY19" s="929">
        <v>2773.2667429692615</v>
      </c>
      <c r="AZ19" s="929">
        <v>2773.2667429692615</v>
      </c>
      <c r="BA19" s="929">
        <v>2773.2667429692615</v>
      </c>
      <c r="BB19" s="942">
        <v>2773.2667429692615</v>
      </c>
      <c r="BC19" s="943">
        <v>33279.200915631147</v>
      </c>
      <c r="BD19" s="941">
        <v>2834.2786113145853</v>
      </c>
      <c r="BE19" s="929">
        <v>2834.2786113145853</v>
      </c>
      <c r="BF19" s="929">
        <v>2834.2786113145853</v>
      </c>
      <c r="BG19" s="929">
        <v>2834.2786113145853</v>
      </c>
      <c r="BH19" s="929">
        <v>2834.2786113145853</v>
      </c>
      <c r="BI19" s="929">
        <v>2834.2786113145853</v>
      </c>
      <c r="BJ19" s="929">
        <v>2834.2786113145853</v>
      </c>
      <c r="BK19" s="929">
        <v>2834.2786113145853</v>
      </c>
      <c r="BL19" s="929">
        <v>2834.2786113145853</v>
      </c>
      <c r="BM19" s="929">
        <v>2834.2786113145853</v>
      </c>
      <c r="BN19" s="929">
        <v>2834.2786113145853</v>
      </c>
      <c r="BO19" s="942">
        <v>2834.2786113145853</v>
      </c>
      <c r="BP19" s="943">
        <v>34011.343335775025</v>
      </c>
      <c r="BR19" s="301" t="s">
        <v>1163</v>
      </c>
      <c r="BS19" s="212"/>
      <c r="BT19" s="212">
        <v>0</v>
      </c>
      <c r="BU19" s="212">
        <v>0</v>
      </c>
      <c r="BV19" s="212">
        <v>0</v>
      </c>
      <c r="BW19" s="212">
        <v>226926.56467893336</v>
      </c>
      <c r="BX19" s="286">
        <v>411772.27624912199</v>
      </c>
      <c r="BZ19" s="366" t="s">
        <v>1234</v>
      </c>
      <c r="CA19" s="364">
        <v>-676617.14180179022</v>
      </c>
      <c r="CB19" s="357">
        <v>1054.2578758177674</v>
      </c>
      <c r="CC19" s="364">
        <v>205087.03786270495</v>
      </c>
      <c r="CD19" s="364">
        <v>475833.62011801905</v>
      </c>
      <c r="CE19" s="364">
        <v>819118.51303408376</v>
      </c>
    </row>
    <row r="20" spans="2:83" ht="15" thickBot="1">
      <c r="B20" s="1728"/>
      <c r="C20" s="274" t="s">
        <v>1152</v>
      </c>
      <c r="D20" s="961">
        <v>0</v>
      </c>
      <c r="E20" s="929">
        <v>0</v>
      </c>
      <c r="F20" s="929">
        <v>0</v>
      </c>
      <c r="G20" s="929">
        <v>0</v>
      </c>
      <c r="H20" s="929">
        <v>0</v>
      </c>
      <c r="I20" s="929">
        <v>0</v>
      </c>
      <c r="J20" s="929">
        <v>0</v>
      </c>
      <c r="K20" s="929">
        <v>0</v>
      </c>
      <c r="L20" s="929">
        <v>0</v>
      </c>
      <c r="M20" s="929">
        <v>0</v>
      </c>
      <c r="N20" s="929">
        <v>0</v>
      </c>
      <c r="O20" s="1127">
        <v>0</v>
      </c>
      <c r="P20" s="943">
        <v>0</v>
      </c>
      <c r="Q20" s="941">
        <v>0</v>
      </c>
      <c r="R20" s="929">
        <v>0</v>
      </c>
      <c r="S20" s="929">
        <v>0</v>
      </c>
      <c r="T20" s="929">
        <v>0</v>
      </c>
      <c r="U20" s="929">
        <v>0</v>
      </c>
      <c r="V20" s="929">
        <v>0</v>
      </c>
      <c r="W20" s="929">
        <v>0</v>
      </c>
      <c r="X20" s="929">
        <v>0</v>
      </c>
      <c r="Y20" s="929">
        <v>0</v>
      </c>
      <c r="Z20" s="929">
        <v>0</v>
      </c>
      <c r="AA20" s="929">
        <v>0</v>
      </c>
      <c r="AB20" s="942">
        <v>0</v>
      </c>
      <c r="AC20" s="943">
        <v>0</v>
      </c>
      <c r="AD20" s="921">
        <v>2713.568241652898</v>
      </c>
      <c r="AE20" s="968">
        <v>2713.568241652898</v>
      </c>
      <c r="AF20" s="968">
        <v>2713.568241652898</v>
      </c>
      <c r="AG20" s="968">
        <v>2713.568241652898</v>
      </c>
      <c r="AH20" s="968">
        <v>2713.568241652898</v>
      </c>
      <c r="AI20" s="968">
        <v>2713.568241652898</v>
      </c>
      <c r="AJ20" s="968">
        <v>2713.568241652898</v>
      </c>
      <c r="AK20" s="968">
        <v>2713.568241652898</v>
      </c>
      <c r="AL20" s="968">
        <v>2713.568241652898</v>
      </c>
      <c r="AM20" s="968">
        <v>2713.568241652898</v>
      </c>
      <c r="AN20" s="968">
        <v>2713.568241652898</v>
      </c>
      <c r="AO20" s="975">
        <v>2713.568241652898</v>
      </c>
      <c r="AP20" s="943">
        <v>32562.818899834776</v>
      </c>
      <c r="AQ20" s="941">
        <v>2773.2667429692615</v>
      </c>
      <c r="AR20" s="929">
        <v>2773.2667429692615</v>
      </c>
      <c r="AS20" s="929">
        <v>2773.2667429692615</v>
      </c>
      <c r="AT20" s="929">
        <v>2773.2667429692615</v>
      </c>
      <c r="AU20" s="929">
        <v>2773.2667429692615</v>
      </c>
      <c r="AV20" s="929">
        <v>2773.2667429692615</v>
      </c>
      <c r="AW20" s="929">
        <v>2773.2667429692615</v>
      </c>
      <c r="AX20" s="929">
        <v>2773.2667429692615</v>
      </c>
      <c r="AY20" s="929">
        <v>2773.2667429692615</v>
      </c>
      <c r="AZ20" s="929">
        <v>2773.2667429692615</v>
      </c>
      <c r="BA20" s="929">
        <v>2773.2667429692615</v>
      </c>
      <c r="BB20" s="942">
        <v>2773.2667429692615</v>
      </c>
      <c r="BC20" s="943">
        <v>33279.200915631147</v>
      </c>
      <c r="BD20" s="941">
        <v>2834.2786113145853</v>
      </c>
      <c r="BE20" s="929">
        <v>2834.2786113145853</v>
      </c>
      <c r="BF20" s="929">
        <v>2834.2786113145853</v>
      </c>
      <c r="BG20" s="929">
        <v>2834.2786113145853</v>
      </c>
      <c r="BH20" s="929">
        <v>2834.2786113145853</v>
      </c>
      <c r="BI20" s="929">
        <v>2834.2786113145853</v>
      </c>
      <c r="BJ20" s="929">
        <v>2834.2786113145853</v>
      </c>
      <c r="BK20" s="929">
        <v>2834.2786113145853</v>
      </c>
      <c r="BL20" s="929">
        <v>2834.2786113145853</v>
      </c>
      <c r="BM20" s="929">
        <v>2834.2786113145853</v>
      </c>
      <c r="BN20" s="929">
        <v>2834.2786113145853</v>
      </c>
      <c r="BO20" s="942">
        <v>2834.2786113145853</v>
      </c>
      <c r="BP20" s="943">
        <v>34011.343335775025</v>
      </c>
      <c r="BR20" s="301" t="s">
        <v>1164</v>
      </c>
      <c r="BS20" s="212"/>
      <c r="BT20" s="212">
        <v>3513.5568480926649</v>
      </c>
      <c r="BU20" s="212">
        <v>15724.428615499177</v>
      </c>
      <c r="BV20" s="212">
        <v>26377.890181257539</v>
      </c>
      <c r="BW20" s="212">
        <v>39235.874132085934</v>
      </c>
      <c r="BX20" s="286">
        <v>54591.783005905469</v>
      </c>
      <c r="BZ20" s="367" t="s">
        <v>679</v>
      </c>
      <c r="CA20" s="365">
        <v>-676617.14180179022</v>
      </c>
      <c r="CB20" s="358">
        <v>-675562.88392597251</v>
      </c>
      <c r="CC20" s="365">
        <v>-470475.84606326756</v>
      </c>
      <c r="CD20" s="365">
        <v>5357.7740547514986</v>
      </c>
      <c r="CE20" s="365">
        <v>824476.28708883526</v>
      </c>
    </row>
    <row r="21" spans="2:83" ht="15" thickBot="1">
      <c r="B21" s="1728"/>
      <c r="C21" s="274" t="s">
        <v>1153</v>
      </c>
      <c r="D21" s="961">
        <v>0</v>
      </c>
      <c r="E21" s="929">
        <v>0</v>
      </c>
      <c r="F21" s="929">
        <v>0</v>
      </c>
      <c r="G21" s="929">
        <v>0</v>
      </c>
      <c r="H21" s="929">
        <v>0</v>
      </c>
      <c r="I21" s="929">
        <v>0</v>
      </c>
      <c r="J21" s="929">
        <v>0</v>
      </c>
      <c r="K21" s="929">
        <v>0</v>
      </c>
      <c r="L21" s="929">
        <v>0</v>
      </c>
      <c r="M21" s="929">
        <v>0</v>
      </c>
      <c r="N21" s="929">
        <v>0</v>
      </c>
      <c r="O21" s="1127">
        <v>0</v>
      </c>
      <c r="P21" s="943">
        <v>0</v>
      </c>
      <c r="Q21" s="941">
        <v>0</v>
      </c>
      <c r="R21" s="929">
        <v>0</v>
      </c>
      <c r="S21" s="929">
        <v>0</v>
      </c>
      <c r="T21" s="929">
        <v>0</v>
      </c>
      <c r="U21" s="929">
        <v>0</v>
      </c>
      <c r="V21" s="929">
        <v>0</v>
      </c>
      <c r="W21" s="929">
        <v>0</v>
      </c>
      <c r="X21" s="929">
        <v>0</v>
      </c>
      <c r="Y21" s="929">
        <v>0</v>
      </c>
      <c r="Z21" s="929">
        <v>0</v>
      </c>
      <c r="AA21" s="929">
        <v>0</v>
      </c>
      <c r="AB21" s="942">
        <v>0</v>
      </c>
      <c r="AC21" s="943">
        <v>0</v>
      </c>
      <c r="AD21" s="921">
        <v>0</v>
      </c>
      <c r="AE21" s="968">
        <v>0</v>
      </c>
      <c r="AF21" s="968">
        <v>0</v>
      </c>
      <c r="AG21" s="968">
        <v>0</v>
      </c>
      <c r="AH21" s="968">
        <v>0</v>
      </c>
      <c r="AI21" s="968">
        <v>0</v>
      </c>
      <c r="AJ21" s="968">
        <v>0</v>
      </c>
      <c r="AK21" s="968">
        <v>0</v>
      </c>
      <c r="AL21" s="968">
        <v>0</v>
      </c>
      <c r="AM21" s="968">
        <v>0</v>
      </c>
      <c r="AN21" s="968">
        <v>0</v>
      </c>
      <c r="AO21" s="975">
        <v>0</v>
      </c>
      <c r="AP21" s="943">
        <v>0</v>
      </c>
      <c r="AQ21" s="941">
        <v>1996.3286554351253</v>
      </c>
      <c r="AR21" s="929">
        <v>1996.3286554351253</v>
      </c>
      <c r="AS21" s="929">
        <v>1996.3286554351253</v>
      </c>
      <c r="AT21" s="929">
        <v>1996.3286554351253</v>
      </c>
      <c r="AU21" s="929">
        <v>1996.3286554351253</v>
      </c>
      <c r="AV21" s="929">
        <v>1996.3286554351253</v>
      </c>
      <c r="AW21" s="929">
        <v>1996.3286554351253</v>
      </c>
      <c r="AX21" s="929">
        <v>1996.3286554351253</v>
      </c>
      <c r="AY21" s="929">
        <v>1996.3286554351253</v>
      </c>
      <c r="AZ21" s="929">
        <v>1996.3286554351253</v>
      </c>
      <c r="BA21" s="929">
        <v>1996.3286554351253</v>
      </c>
      <c r="BB21" s="942">
        <v>1996.3286554351253</v>
      </c>
      <c r="BC21" s="943">
        <v>23955.943865221503</v>
      </c>
      <c r="BD21" s="941">
        <v>2040.2478858546979</v>
      </c>
      <c r="BE21" s="929">
        <v>2040.2478858546979</v>
      </c>
      <c r="BF21" s="929">
        <v>2040.2478858546979</v>
      </c>
      <c r="BG21" s="929">
        <v>2040.2478858546979</v>
      </c>
      <c r="BH21" s="929">
        <v>2040.2478858546979</v>
      </c>
      <c r="BI21" s="929">
        <v>2040.2478858546979</v>
      </c>
      <c r="BJ21" s="929">
        <v>2040.2478858546979</v>
      </c>
      <c r="BK21" s="929">
        <v>2040.2478858546979</v>
      </c>
      <c r="BL21" s="929">
        <v>2040.2478858546979</v>
      </c>
      <c r="BM21" s="929">
        <v>2040.2478858546979</v>
      </c>
      <c r="BN21" s="929">
        <v>2040.2478858546979</v>
      </c>
      <c r="BO21" s="942">
        <v>2040.2478858546979</v>
      </c>
      <c r="BP21" s="943">
        <v>24482.974630256373</v>
      </c>
      <c r="BR21" s="317" t="s">
        <v>1183</v>
      </c>
      <c r="BS21" s="319">
        <v>0</v>
      </c>
      <c r="BT21" s="319">
        <v>965995.86336389231</v>
      </c>
      <c r="BU21" s="319">
        <v>1039999.2812504997</v>
      </c>
      <c r="BV21" s="319">
        <v>1241662.6607689932</v>
      </c>
      <c r="BW21" s="319">
        <v>2187776.0021734647</v>
      </c>
      <c r="BX21" s="321">
        <v>2861538.1897781617</v>
      </c>
    </row>
    <row r="22" spans="2:83" ht="15" thickBot="1">
      <c r="B22" s="1729"/>
      <c r="C22" s="275" t="s">
        <v>1154</v>
      </c>
      <c r="D22" s="936">
        <v>3877.1662381546139</v>
      </c>
      <c r="E22" s="919">
        <v>3877.1662381546139</v>
      </c>
      <c r="F22" s="919">
        <v>3877.1662381546139</v>
      </c>
      <c r="G22" s="919">
        <v>3877.1662381546139</v>
      </c>
      <c r="H22" s="919">
        <v>3877.1662381546139</v>
      </c>
      <c r="I22" s="919">
        <v>3877.1662381546139</v>
      </c>
      <c r="J22" s="919">
        <v>3877.1662381546139</v>
      </c>
      <c r="K22" s="919">
        <v>3877.1662381546139</v>
      </c>
      <c r="L22" s="919">
        <v>3877.1662381546139</v>
      </c>
      <c r="M22" s="919">
        <v>3877.1662381546139</v>
      </c>
      <c r="N22" s="919">
        <v>3877.1662381546139</v>
      </c>
      <c r="O22" s="964">
        <v>3877.1662381546139</v>
      </c>
      <c r="P22" s="935">
        <v>46525.994857855352</v>
      </c>
      <c r="Q22" s="934">
        <v>3962.4638953940157</v>
      </c>
      <c r="R22" s="919">
        <v>3962.4638953940157</v>
      </c>
      <c r="S22" s="919">
        <v>3962.4638953940157</v>
      </c>
      <c r="T22" s="919">
        <v>3962.4638953940157</v>
      </c>
      <c r="U22" s="919">
        <v>3962.4638953940157</v>
      </c>
      <c r="V22" s="919">
        <v>3962.4638953940157</v>
      </c>
      <c r="W22" s="919">
        <v>3962.4638953940157</v>
      </c>
      <c r="X22" s="919">
        <v>3962.4638953940157</v>
      </c>
      <c r="Y22" s="919">
        <v>3962.4638953940157</v>
      </c>
      <c r="Z22" s="919">
        <v>3962.4638953940157</v>
      </c>
      <c r="AA22" s="919">
        <v>3962.4638953940157</v>
      </c>
      <c r="AB22" s="940">
        <v>3962.4638953940157</v>
      </c>
      <c r="AC22" s="935">
        <v>47549.566744728188</v>
      </c>
      <c r="AD22" s="937">
        <v>4049.6381010926843</v>
      </c>
      <c r="AE22" s="970">
        <v>4049.6381010926843</v>
      </c>
      <c r="AF22" s="970">
        <v>4049.6381010926843</v>
      </c>
      <c r="AG22" s="970">
        <v>4049.6381010926843</v>
      </c>
      <c r="AH22" s="970">
        <v>4049.6381010926843</v>
      </c>
      <c r="AI22" s="970">
        <v>4049.6381010926843</v>
      </c>
      <c r="AJ22" s="970">
        <v>4049.6381010926843</v>
      </c>
      <c r="AK22" s="970">
        <v>4049.6381010926843</v>
      </c>
      <c r="AL22" s="970">
        <v>4049.6381010926843</v>
      </c>
      <c r="AM22" s="970">
        <v>4049.6381010926843</v>
      </c>
      <c r="AN22" s="970">
        <v>4049.6381010926843</v>
      </c>
      <c r="AO22" s="976">
        <v>4049.6381010926843</v>
      </c>
      <c r="AP22" s="935">
        <v>48595.657213112216</v>
      </c>
      <c r="AQ22" s="934">
        <v>4138.7301393167236</v>
      </c>
      <c r="AR22" s="919">
        <v>4138.7301393167236</v>
      </c>
      <c r="AS22" s="919">
        <v>4138.7301393167236</v>
      </c>
      <c r="AT22" s="919">
        <v>4138.7301393167236</v>
      </c>
      <c r="AU22" s="919">
        <v>4138.7301393167236</v>
      </c>
      <c r="AV22" s="919">
        <v>4138.7301393167236</v>
      </c>
      <c r="AW22" s="919">
        <v>4138.7301393167236</v>
      </c>
      <c r="AX22" s="919">
        <v>4138.7301393167236</v>
      </c>
      <c r="AY22" s="919">
        <v>4138.7301393167236</v>
      </c>
      <c r="AZ22" s="919">
        <v>4138.7301393167236</v>
      </c>
      <c r="BA22" s="919">
        <v>4138.7301393167236</v>
      </c>
      <c r="BB22" s="940">
        <v>4138.7301393167236</v>
      </c>
      <c r="BC22" s="935">
        <v>49664.761671800668</v>
      </c>
      <c r="BD22" s="934">
        <v>4229.7822023816916</v>
      </c>
      <c r="BE22" s="919">
        <v>4229.7822023816916</v>
      </c>
      <c r="BF22" s="919">
        <v>4229.7822023816916</v>
      </c>
      <c r="BG22" s="919">
        <v>4229.7822023816916</v>
      </c>
      <c r="BH22" s="919">
        <v>4229.7822023816916</v>
      </c>
      <c r="BI22" s="919">
        <v>4229.7822023816916</v>
      </c>
      <c r="BJ22" s="919">
        <v>4229.7822023816916</v>
      </c>
      <c r="BK22" s="919">
        <v>4229.7822023816916</v>
      </c>
      <c r="BL22" s="919">
        <v>4229.7822023816916</v>
      </c>
      <c r="BM22" s="919">
        <v>4229.7822023816916</v>
      </c>
      <c r="BN22" s="919">
        <v>4229.7822023816916</v>
      </c>
      <c r="BO22" s="940">
        <v>4229.7822023816916</v>
      </c>
      <c r="BP22" s="935">
        <v>50757.386428580299</v>
      </c>
      <c r="BR22" s="1752"/>
      <c r="BS22" s="1753"/>
      <c r="BT22" s="1753"/>
      <c r="BU22" s="1753"/>
      <c r="BV22" s="1753"/>
      <c r="BW22" s="1753"/>
      <c r="BX22" s="1754"/>
    </row>
    <row r="23" spans="2:83" ht="15" thickBot="1">
      <c r="B23" s="1372" t="s">
        <v>608</v>
      </c>
      <c r="C23" s="1110"/>
      <c r="D23" s="1128">
        <v>3591.0224438902742</v>
      </c>
      <c r="E23" s="1112">
        <v>3591.0224438902742</v>
      </c>
      <c r="F23" s="1112">
        <v>3591.0224438902742</v>
      </c>
      <c r="G23" s="1112">
        <v>3591.0224438902742</v>
      </c>
      <c r="H23" s="1112">
        <v>3591.0224438902742</v>
      </c>
      <c r="I23" s="1112">
        <v>3591.0224438902742</v>
      </c>
      <c r="J23" s="1112">
        <v>3591.0224438902742</v>
      </c>
      <c r="K23" s="1112">
        <v>3591.0224438902742</v>
      </c>
      <c r="L23" s="1112">
        <v>3591.0224438902742</v>
      </c>
      <c r="M23" s="1112">
        <v>3591.0224438902742</v>
      </c>
      <c r="N23" s="1112">
        <v>3591.0224438902742</v>
      </c>
      <c r="O23" s="1129">
        <v>3591.0224438902742</v>
      </c>
      <c r="P23" s="1114">
        <v>43092.269326683287</v>
      </c>
      <c r="Q23" s="1111">
        <v>3670.0249376558604</v>
      </c>
      <c r="R23" s="1112">
        <v>3670.0249376558604</v>
      </c>
      <c r="S23" s="1112">
        <v>3670.0249376558604</v>
      </c>
      <c r="T23" s="1112">
        <v>3670.0249376558604</v>
      </c>
      <c r="U23" s="1112">
        <v>3670.0249376558604</v>
      </c>
      <c r="V23" s="1112">
        <v>3670.0249376558604</v>
      </c>
      <c r="W23" s="1112">
        <v>3670.0249376558604</v>
      </c>
      <c r="X23" s="1112">
        <v>3670.0249376558604</v>
      </c>
      <c r="Y23" s="1112">
        <v>3670.0249376558604</v>
      </c>
      <c r="Z23" s="1112">
        <v>3670.0249376558604</v>
      </c>
      <c r="AA23" s="1112">
        <v>3670.0249376558604</v>
      </c>
      <c r="AB23" s="1113">
        <v>3670.0249376558604</v>
      </c>
      <c r="AC23" s="1114">
        <v>44040.29925187034</v>
      </c>
      <c r="AD23" s="1115">
        <v>3750.7654862842892</v>
      </c>
      <c r="AE23" s="1116">
        <v>3750.7654862842892</v>
      </c>
      <c r="AF23" s="1116">
        <v>3750.7654862842892</v>
      </c>
      <c r="AG23" s="1116">
        <v>3750.7654862842892</v>
      </c>
      <c r="AH23" s="1116">
        <v>3750.7654862842892</v>
      </c>
      <c r="AI23" s="1116">
        <v>3750.7654862842892</v>
      </c>
      <c r="AJ23" s="1116">
        <v>3750.7654862842892</v>
      </c>
      <c r="AK23" s="1116">
        <v>3750.7654862842892</v>
      </c>
      <c r="AL23" s="1116">
        <v>3750.7654862842892</v>
      </c>
      <c r="AM23" s="1116">
        <v>3750.7654862842892</v>
      </c>
      <c r="AN23" s="1116">
        <v>3750.7654862842892</v>
      </c>
      <c r="AO23" s="1117">
        <v>3750.7654862842892</v>
      </c>
      <c r="AP23" s="1114">
        <v>45009.185835411474</v>
      </c>
      <c r="AQ23" s="1111">
        <v>3833.282326982544</v>
      </c>
      <c r="AR23" s="1111">
        <v>3833.282326982544</v>
      </c>
      <c r="AS23" s="1111">
        <v>3833.282326982544</v>
      </c>
      <c r="AT23" s="1111">
        <v>3833.282326982544</v>
      </c>
      <c r="AU23" s="1111">
        <v>3833.282326982544</v>
      </c>
      <c r="AV23" s="1111">
        <v>3833.282326982544</v>
      </c>
      <c r="AW23" s="1111">
        <v>3833.282326982544</v>
      </c>
      <c r="AX23" s="1111">
        <v>3833.282326982544</v>
      </c>
      <c r="AY23" s="1111">
        <v>3833.282326982544</v>
      </c>
      <c r="AZ23" s="1111">
        <v>3833.282326982544</v>
      </c>
      <c r="BA23" s="1111">
        <v>3833.282326982544</v>
      </c>
      <c r="BB23" s="1118">
        <v>3833.282326982544</v>
      </c>
      <c r="BC23" s="1114">
        <v>45999.387923790542</v>
      </c>
      <c r="BD23" s="1111">
        <v>3917.6145381761598</v>
      </c>
      <c r="BE23" s="1111">
        <v>3917.6145381761598</v>
      </c>
      <c r="BF23" s="1111">
        <v>3917.6145381761598</v>
      </c>
      <c r="BG23" s="1111">
        <v>3917.6145381761598</v>
      </c>
      <c r="BH23" s="1111">
        <v>3917.6145381761598</v>
      </c>
      <c r="BI23" s="1111">
        <v>3917.6145381761598</v>
      </c>
      <c r="BJ23" s="1111">
        <v>3917.6145381761598</v>
      </c>
      <c r="BK23" s="1111">
        <v>3917.6145381761598</v>
      </c>
      <c r="BL23" s="1111">
        <v>3917.6145381761598</v>
      </c>
      <c r="BM23" s="1111">
        <v>3917.6145381761598</v>
      </c>
      <c r="BN23" s="1111">
        <v>3917.6145381761598</v>
      </c>
      <c r="BO23" s="1118">
        <v>3917.6145381761598</v>
      </c>
      <c r="BP23" s="1114">
        <v>47011.374458113918</v>
      </c>
      <c r="BR23" s="322" t="s">
        <v>1184</v>
      </c>
      <c r="BS23" s="323">
        <v>625000</v>
      </c>
      <c r="BT23" s="323">
        <v>-731758.74015771458</v>
      </c>
      <c r="BU23" s="323">
        <v>8295.9597827788675</v>
      </c>
      <c r="BV23" s="323">
        <v>516863.3513148427</v>
      </c>
      <c r="BW23" s="323">
        <v>427948.93996559782</v>
      </c>
      <c r="BX23" s="324">
        <v>777914.01061553648</v>
      </c>
    </row>
    <row r="24" spans="2:83" ht="15" thickBot="1">
      <c r="B24" s="1727" t="s">
        <v>1155</v>
      </c>
      <c r="C24" s="313" t="s">
        <v>1030</v>
      </c>
      <c r="D24" s="958">
        <v>453.11521197007482</v>
      </c>
      <c r="E24" s="938">
        <v>453.11521197007482</v>
      </c>
      <c r="F24" s="938">
        <v>453.11521197007482</v>
      </c>
      <c r="G24" s="938">
        <v>453.11521197007482</v>
      </c>
      <c r="H24" s="938">
        <v>453.11521197007482</v>
      </c>
      <c r="I24" s="938">
        <v>453.11521197007482</v>
      </c>
      <c r="J24" s="938">
        <v>453.11521197007482</v>
      </c>
      <c r="K24" s="938">
        <v>453.11521197007482</v>
      </c>
      <c r="L24" s="938">
        <v>453.11521197007482</v>
      </c>
      <c r="M24" s="938">
        <v>453.11521197007482</v>
      </c>
      <c r="N24" s="938">
        <v>453.11521197007482</v>
      </c>
      <c r="O24" s="1126">
        <v>453.11521197007482</v>
      </c>
      <c r="P24" s="932">
        <v>5437.3825436408961</v>
      </c>
      <c r="Q24" s="931">
        <v>463.08374663341647</v>
      </c>
      <c r="R24" s="938">
        <v>463.08374663341647</v>
      </c>
      <c r="S24" s="938">
        <v>463.08374663341647</v>
      </c>
      <c r="T24" s="938">
        <v>463.08374663341647</v>
      </c>
      <c r="U24" s="938">
        <v>463.08374663341647</v>
      </c>
      <c r="V24" s="938">
        <v>463.08374663341647</v>
      </c>
      <c r="W24" s="938">
        <v>463.08374663341647</v>
      </c>
      <c r="X24" s="938">
        <v>463.08374663341647</v>
      </c>
      <c r="Y24" s="938">
        <v>463.08374663341647</v>
      </c>
      <c r="Z24" s="938">
        <v>463.08374663341647</v>
      </c>
      <c r="AA24" s="938">
        <v>463.08374663341647</v>
      </c>
      <c r="AB24" s="939">
        <v>463.08374663341647</v>
      </c>
      <c r="AC24" s="932">
        <v>5557.0049596009958</v>
      </c>
      <c r="AD24" s="933">
        <v>0</v>
      </c>
      <c r="AE24" s="969">
        <v>0</v>
      </c>
      <c r="AF24" s="969">
        <v>0</v>
      </c>
      <c r="AG24" s="969">
        <v>0</v>
      </c>
      <c r="AH24" s="969">
        <v>0</v>
      </c>
      <c r="AI24" s="969">
        <v>0</v>
      </c>
      <c r="AJ24" s="969">
        <v>0</v>
      </c>
      <c r="AK24" s="969">
        <v>0</v>
      </c>
      <c r="AL24" s="969">
        <v>0</v>
      </c>
      <c r="AM24" s="969">
        <v>0</v>
      </c>
      <c r="AN24" s="969">
        <v>0</v>
      </c>
      <c r="AO24" s="974">
        <v>0</v>
      </c>
      <c r="AP24" s="932">
        <v>0</v>
      </c>
      <c r="AQ24" s="931">
        <v>0</v>
      </c>
      <c r="AR24" s="938">
        <v>0</v>
      </c>
      <c r="AS24" s="938">
        <v>0</v>
      </c>
      <c r="AT24" s="938">
        <v>0</v>
      </c>
      <c r="AU24" s="938">
        <v>0</v>
      </c>
      <c r="AV24" s="938">
        <v>0</v>
      </c>
      <c r="AW24" s="938">
        <v>0</v>
      </c>
      <c r="AX24" s="938">
        <v>0</v>
      </c>
      <c r="AY24" s="938">
        <v>0</v>
      </c>
      <c r="AZ24" s="938">
        <v>0</v>
      </c>
      <c r="BA24" s="938">
        <v>0</v>
      </c>
      <c r="BB24" s="939">
        <v>0</v>
      </c>
      <c r="BC24" s="932">
        <v>0</v>
      </c>
      <c r="BD24" s="931">
        <v>0</v>
      </c>
      <c r="BE24" s="938">
        <v>0</v>
      </c>
      <c r="BF24" s="938">
        <v>0</v>
      </c>
      <c r="BG24" s="938">
        <v>0</v>
      </c>
      <c r="BH24" s="938">
        <v>0</v>
      </c>
      <c r="BI24" s="938">
        <v>0</v>
      </c>
      <c r="BJ24" s="938">
        <v>0</v>
      </c>
      <c r="BK24" s="938">
        <v>0</v>
      </c>
      <c r="BL24" s="938">
        <v>0</v>
      </c>
      <c r="BM24" s="938">
        <v>0</v>
      </c>
      <c r="BN24" s="938">
        <v>0</v>
      </c>
      <c r="BO24" s="939">
        <v>0</v>
      </c>
      <c r="BP24" s="932">
        <v>0</v>
      </c>
      <c r="BR24" s="153"/>
      <c r="BX24" s="135"/>
    </row>
    <row r="25" spans="2:83" ht="15" thickBot="1">
      <c r="B25" s="1728"/>
      <c r="C25" s="274" t="s">
        <v>1031</v>
      </c>
      <c r="D25" s="961">
        <v>754.88279301745638</v>
      </c>
      <c r="E25" s="929">
        <v>754.88279301745638</v>
      </c>
      <c r="F25" s="929">
        <v>754.88279301745638</v>
      </c>
      <c r="G25" s="929">
        <v>754.88279301745638</v>
      </c>
      <c r="H25" s="929">
        <v>754.88279301745638</v>
      </c>
      <c r="I25" s="929">
        <v>754.88279301745638</v>
      </c>
      <c r="J25" s="929">
        <v>754.88279301745638</v>
      </c>
      <c r="K25" s="929">
        <v>754.88279301745638</v>
      </c>
      <c r="L25" s="929">
        <v>754.88279301745638</v>
      </c>
      <c r="M25" s="929">
        <v>754.88279301745638</v>
      </c>
      <c r="N25" s="929">
        <v>754.88279301745638</v>
      </c>
      <c r="O25" s="1127">
        <v>754.88279301745638</v>
      </c>
      <c r="P25" s="943">
        <v>9058.5935162094775</v>
      </c>
      <c r="Q25" s="941">
        <v>771.49021446384052</v>
      </c>
      <c r="R25" s="929">
        <v>771.49021446384052</v>
      </c>
      <c r="S25" s="929">
        <v>771.49021446384052</v>
      </c>
      <c r="T25" s="929">
        <v>771.49021446384052</v>
      </c>
      <c r="U25" s="929">
        <v>771.49021446384052</v>
      </c>
      <c r="V25" s="929">
        <v>771.49021446384052</v>
      </c>
      <c r="W25" s="929">
        <v>771.49021446384052</v>
      </c>
      <c r="X25" s="929">
        <v>771.49021446384052</v>
      </c>
      <c r="Y25" s="929">
        <v>771.49021446384052</v>
      </c>
      <c r="Z25" s="929">
        <v>771.49021446384052</v>
      </c>
      <c r="AA25" s="929">
        <v>771.49021446384052</v>
      </c>
      <c r="AB25" s="942">
        <v>771.49021446384052</v>
      </c>
      <c r="AC25" s="943">
        <v>9257.8825735660866</v>
      </c>
      <c r="AD25" s="921">
        <v>0</v>
      </c>
      <c r="AE25" s="968">
        <v>0</v>
      </c>
      <c r="AF25" s="968">
        <v>0</v>
      </c>
      <c r="AG25" s="968">
        <v>0</v>
      </c>
      <c r="AH25" s="968">
        <v>0</v>
      </c>
      <c r="AI25" s="968">
        <v>0</v>
      </c>
      <c r="AJ25" s="968">
        <v>0</v>
      </c>
      <c r="AK25" s="968">
        <v>0</v>
      </c>
      <c r="AL25" s="968">
        <v>0</v>
      </c>
      <c r="AM25" s="968">
        <v>0</v>
      </c>
      <c r="AN25" s="968">
        <v>0</v>
      </c>
      <c r="AO25" s="975">
        <v>0</v>
      </c>
      <c r="AP25" s="943">
        <v>0</v>
      </c>
      <c r="AQ25" s="941">
        <v>0</v>
      </c>
      <c r="AR25" s="929">
        <v>0</v>
      </c>
      <c r="AS25" s="929">
        <v>0</v>
      </c>
      <c r="AT25" s="929">
        <v>0</v>
      </c>
      <c r="AU25" s="929">
        <v>0</v>
      </c>
      <c r="AV25" s="929">
        <v>0</v>
      </c>
      <c r="AW25" s="929">
        <v>0</v>
      </c>
      <c r="AX25" s="929">
        <v>0</v>
      </c>
      <c r="AY25" s="929">
        <v>0</v>
      </c>
      <c r="AZ25" s="929">
        <v>0</v>
      </c>
      <c r="BA25" s="929">
        <v>0</v>
      </c>
      <c r="BB25" s="942">
        <v>0</v>
      </c>
      <c r="BC25" s="943">
        <v>0</v>
      </c>
      <c r="BD25" s="941">
        <v>0</v>
      </c>
      <c r="BE25" s="929">
        <v>0</v>
      </c>
      <c r="BF25" s="929">
        <v>0</v>
      </c>
      <c r="BG25" s="929">
        <v>0</v>
      </c>
      <c r="BH25" s="929">
        <v>0</v>
      </c>
      <c r="BI25" s="929">
        <v>0</v>
      </c>
      <c r="BJ25" s="929">
        <v>0</v>
      </c>
      <c r="BK25" s="929">
        <v>0</v>
      </c>
      <c r="BL25" s="929">
        <v>0</v>
      </c>
      <c r="BM25" s="929">
        <v>0</v>
      </c>
      <c r="BN25" s="929">
        <v>0</v>
      </c>
      <c r="BO25" s="942">
        <v>0</v>
      </c>
      <c r="BP25" s="943">
        <v>0</v>
      </c>
      <c r="BR25" s="322" t="s">
        <v>1185</v>
      </c>
      <c r="BS25" s="323">
        <v>625000</v>
      </c>
      <c r="BT25" s="323">
        <v>-106758.74015771458</v>
      </c>
      <c r="BU25" s="323">
        <v>-98462.780374935712</v>
      </c>
      <c r="BV25" s="323">
        <v>418400.57093990699</v>
      </c>
      <c r="BW25" s="323">
        <v>846349.51090550481</v>
      </c>
      <c r="BX25" s="324">
        <v>1624263.5215210412</v>
      </c>
    </row>
    <row r="26" spans="2:83">
      <c r="B26" s="1728"/>
      <c r="C26" s="274" t="s">
        <v>1156</v>
      </c>
      <c r="D26" s="961">
        <v>263.9920199501247</v>
      </c>
      <c r="E26" s="929">
        <v>263.9920199501247</v>
      </c>
      <c r="F26" s="929">
        <v>263.9920199501247</v>
      </c>
      <c r="G26" s="929">
        <v>263.9920199501247</v>
      </c>
      <c r="H26" s="929">
        <v>263.9920199501247</v>
      </c>
      <c r="I26" s="929">
        <v>263.9920199501247</v>
      </c>
      <c r="J26" s="929">
        <v>263.9920199501247</v>
      </c>
      <c r="K26" s="929">
        <v>263.9920199501247</v>
      </c>
      <c r="L26" s="929">
        <v>263.9920199501247</v>
      </c>
      <c r="M26" s="929">
        <v>263.9920199501247</v>
      </c>
      <c r="N26" s="929">
        <v>263.9920199501247</v>
      </c>
      <c r="O26" s="1127">
        <v>263.9920199501247</v>
      </c>
      <c r="P26" s="943">
        <v>3167.9042394014973</v>
      </c>
      <c r="Q26" s="941">
        <v>316.44993915211973</v>
      </c>
      <c r="R26" s="929">
        <v>316.44993915211973</v>
      </c>
      <c r="S26" s="929">
        <v>316.44993915211973</v>
      </c>
      <c r="T26" s="929">
        <v>316.44993915211973</v>
      </c>
      <c r="U26" s="929">
        <v>316.44993915211973</v>
      </c>
      <c r="V26" s="929">
        <v>316.44993915211973</v>
      </c>
      <c r="W26" s="929">
        <v>316.44993915211973</v>
      </c>
      <c r="X26" s="929">
        <v>316.44993915211973</v>
      </c>
      <c r="Y26" s="929">
        <v>316.44993915211973</v>
      </c>
      <c r="Z26" s="929">
        <v>316.44993915211973</v>
      </c>
      <c r="AA26" s="929">
        <v>316.44993915211973</v>
      </c>
      <c r="AB26" s="942">
        <v>316.44993915211973</v>
      </c>
      <c r="AC26" s="943">
        <v>3797.3992698254374</v>
      </c>
      <c r="AD26" s="921">
        <v>442.60282993316707</v>
      </c>
      <c r="AE26" s="968">
        <v>442.60282993316707</v>
      </c>
      <c r="AF26" s="968">
        <v>442.60282993316707</v>
      </c>
      <c r="AG26" s="968">
        <v>442.60282993316707</v>
      </c>
      <c r="AH26" s="968">
        <v>442.60282993316707</v>
      </c>
      <c r="AI26" s="968">
        <v>442.60282993316707</v>
      </c>
      <c r="AJ26" s="968">
        <v>442.60282993316707</v>
      </c>
      <c r="AK26" s="968">
        <v>442.60282993316707</v>
      </c>
      <c r="AL26" s="968">
        <v>442.60282993316707</v>
      </c>
      <c r="AM26" s="968">
        <v>442.60282993316707</v>
      </c>
      <c r="AN26" s="968">
        <v>442.60282993316707</v>
      </c>
      <c r="AO26" s="975">
        <v>442.60282993316707</v>
      </c>
      <c r="AP26" s="943">
        <v>5311.2339591980053</v>
      </c>
      <c r="AQ26" s="941">
        <v>452.34009219169678</v>
      </c>
      <c r="AR26" s="929">
        <v>452.34009219169678</v>
      </c>
      <c r="AS26" s="929">
        <v>452.34009219169678</v>
      </c>
      <c r="AT26" s="929">
        <v>452.34009219169678</v>
      </c>
      <c r="AU26" s="929">
        <v>452.34009219169678</v>
      </c>
      <c r="AV26" s="929">
        <v>452.34009219169678</v>
      </c>
      <c r="AW26" s="929">
        <v>452.34009219169678</v>
      </c>
      <c r="AX26" s="929">
        <v>452.34009219169678</v>
      </c>
      <c r="AY26" s="929">
        <v>452.34009219169678</v>
      </c>
      <c r="AZ26" s="929">
        <v>452.34009219169678</v>
      </c>
      <c r="BA26" s="929">
        <v>452.34009219169678</v>
      </c>
      <c r="BB26" s="942">
        <v>452.34009219169678</v>
      </c>
      <c r="BC26" s="943">
        <v>5428.0811063003603</v>
      </c>
      <c r="BD26" s="941">
        <v>574.33535001175221</v>
      </c>
      <c r="BE26" s="929">
        <v>574.33535001175221</v>
      </c>
      <c r="BF26" s="929">
        <v>574.33535001175221</v>
      </c>
      <c r="BG26" s="929">
        <v>574.33535001175221</v>
      </c>
      <c r="BH26" s="929">
        <v>574.33535001175221</v>
      </c>
      <c r="BI26" s="929">
        <v>574.33535001175221</v>
      </c>
      <c r="BJ26" s="929">
        <v>574.33535001175221</v>
      </c>
      <c r="BK26" s="929">
        <v>574.33535001175221</v>
      </c>
      <c r="BL26" s="929">
        <v>574.33535001175221</v>
      </c>
      <c r="BM26" s="929">
        <v>574.33535001175221</v>
      </c>
      <c r="BN26" s="929">
        <v>574.33535001175221</v>
      </c>
      <c r="BO26" s="942">
        <v>574.33535001175221</v>
      </c>
      <c r="BP26" s="943">
        <v>6892.0242001410252</v>
      </c>
    </row>
    <row r="27" spans="2:83">
      <c r="B27" s="1728"/>
      <c r="C27" s="274" t="s">
        <v>966</v>
      </c>
      <c r="D27" s="961">
        <v>5.4269326683291759</v>
      </c>
      <c r="E27" s="929">
        <v>5.4269326683291759</v>
      </c>
      <c r="F27" s="929">
        <v>5.4269326683291759</v>
      </c>
      <c r="G27" s="929">
        <v>5.4269326683291759</v>
      </c>
      <c r="H27" s="929">
        <v>5.4269326683291759</v>
      </c>
      <c r="I27" s="929">
        <v>5.4269326683291759</v>
      </c>
      <c r="J27" s="929">
        <v>5.4269326683291759</v>
      </c>
      <c r="K27" s="929">
        <v>5.4269326683291759</v>
      </c>
      <c r="L27" s="929">
        <v>5.4269326683291759</v>
      </c>
      <c r="M27" s="929">
        <v>5.4269326683291759</v>
      </c>
      <c r="N27" s="929">
        <v>5.4269326683291759</v>
      </c>
      <c r="O27" s="1127">
        <v>5.4269326683291759</v>
      </c>
      <c r="P27" s="943">
        <v>65.123192019950096</v>
      </c>
      <c r="Q27" s="941">
        <v>10.03884858852868</v>
      </c>
      <c r="R27" s="929">
        <v>10.03884858852868</v>
      </c>
      <c r="S27" s="929">
        <v>10.03884858852868</v>
      </c>
      <c r="T27" s="929">
        <v>10.03884858852868</v>
      </c>
      <c r="U27" s="929">
        <v>10.03884858852868</v>
      </c>
      <c r="V27" s="929">
        <v>10.03884858852868</v>
      </c>
      <c r="W27" s="929">
        <v>10.03884858852868</v>
      </c>
      <c r="X27" s="929">
        <v>10.03884858852868</v>
      </c>
      <c r="Y27" s="929">
        <v>10.03884858852868</v>
      </c>
      <c r="Z27" s="929">
        <v>10.03884858852868</v>
      </c>
      <c r="AA27" s="929">
        <v>10.03884858852868</v>
      </c>
      <c r="AB27" s="942">
        <v>10.03884858852868</v>
      </c>
      <c r="AC27" s="943">
        <v>120.46618306234416</v>
      </c>
      <c r="AD27" s="921">
        <v>14.45427806992519</v>
      </c>
      <c r="AE27" s="968">
        <v>14.45427806992519</v>
      </c>
      <c r="AF27" s="968">
        <v>14.45427806992519</v>
      </c>
      <c r="AG27" s="968">
        <v>14.45427806992519</v>
      </c>
      <c r="AH27" s="968">
        <v>14.45427806992519</v>
      </c>
      <c r="AI27" s="968">
        <v>14.45427806992519</v>
      </c>
      <c r="AJ27" s="968">
        <v>14.45427806992519</v>
      </c>
      <c r="AK27" s="968">
        <v>14.45427806992519</v>
      </c>
      <c r="AL27" s="968">
        <v>14.45427806992519</v>
      </c>
      <c r="AM27" s="968">
        <v>14.45427806992519</v>
      </c>
      <c r="AN27" s="968">
        <v>14.45427806992519</v>
      </c>
      <c r="AO27" s="975">
        <v>14.45427806992519</v>
      </c>
      <c r="AP27" s="943">
        <v>173.45133683910225</v>
      </c>
      <c r="AQ27" s="941">
        <v>26.6480204166009</v>
      </c>
      <c r="AR27" s="929">
        <v>26.6480204166009</v>
      </c>
      <c r="AS27" s="929">
        <v>26.6480204166009</v>
      </c>
      <c r="AT27" s="929">
        <v>26.6480204166009</v>
      </c>
      <c r="AU27" s="929">
        <v>26.6480204166009</v>
      </c>
      <c r="AV27" s="929">
        <v>26.6480204166009</v>
      </c>
      <c r="AW27" s="929">
        <v>26.6480204166009</v>
      </c>
      <c r="AX27" s="929">
        <v>26.6480204166009</v>
      </c>
      <c r="AY27" s="929">
        <v>26.6480204166009</v>
      </c>
      <c r="AZ27" s="929">
        <v>26.6480204166009</v>
      </c>
      <c r="BA27" s="929">
        <v>26.6480204166009</v>
      </c>
      <c r="BB27" s="942">
        <v>26.6480204166009</v>
      </c>
      <c r="BC27" s="943">
        <v>319.7762449992108</v>
      </c>
      <c r="BD27" s="941">
        <v>45.587811275304155</v>
      </c>
      <c r="BE27" s="929">
        <v>45.587811275304155</v>
      </c>
      <c r="BF27" s="929">
        <v>45.587811275304155</v>
      </c>
      <c r="BG27" s="929">
        <v>45.587811275304155</v>
      </c>
      <c r="BH27" s="929">
        <v>45.587811275304155</v>
      </c>
      <c r="BI27" s="929">
        <v>45.587811275304155</v>
      </c>
      <c r="BJ27" s="929">
        <v>45.587811275304155</v>
      </c>
      <c r="BK27" s="929">
        <v>45.587811275304155</v>
      </c>
      <c r="BL27" s="929">
        <v>45.587811275304155</v>
      </c>
      <c r="BM27" s="929">
        <v>45.587811275304155</v>
      </c>
      <c r="BN27" s="929">
        <v>45.587811275304155</v>
      </c>
      <c r="BO27" s="942">
        <v>45.587811275304155</v>
      </c>
      <c r="BP27" s="943">
        <v>547.05373530364989</v>
      </c>
    </row>
    <row r="28" spans="2:83">
      <c r="B28" s="1728"/>
      <c r="C28" s="274" t="s">
        <v>1157</v>
      </c>
      <c r="D28" s="961">
        <v>54.862842892768079</v>
      </c>
      <c r="E28" s="929">
        <v>54.862842892768079</v>
      </c>
      <c r="F28" s="929">
        <v>54.862842892768079</v>
      </c>
      <c r="G28" s="929">
        <v>54.862842892768079</v>
      </c>
      <c r="H28" s="929">
        <v>54.862842892768079</v>
      </c>
      <c r="I28" s="929">
        <v>54.862842892768079</v>
      </c>
      <c r="J28" s="929">
        <v>54.862842892768079</v>
      </c>
      <c r="K28" s="929">
        <v>54.862842892768079</v>
      </c>
      <c r="L28" s="929">
        <v>54.862842892768079</v>
      </c>
      <c r="M28" s="929">
        <v>54.862842892768079</v>
      </c>
      <c r="N28" s="929">
        <v>54.862842892768079</v>
      </c>
      <c r="O28" s="1127">
        <v>54.862842892768079</v>
      </c>
      <c r="P28" s="943">
        <v>658.35411471321697</v>
      </c>
      <c r="Q28" s="941">
        <v>56.069825436408976</v>
      </c>
      <c r="R28" s="929">
        <v>56.069825436408976</v>
      </c>
      <c r="S28" s="929">
        <v>56.069825436408976</v>
      </c>
      <c r="T28" s="929">
        <v>56.069825436408976</v>
      </c>
      <c r="U28" s="929">
        <v>56.069825436408976</v>
      </c>
      <c r="V28" s="929">
        <v>56.069825436408976</v>
      </c>
      <c r="W28" s="929">
        <v>56.069825436408976</v>
      </c>
      <c r="X28" s="929">
        <v>56.069825436408976</v>
      </c>
      <c r="Y28" s="929">
        <v>56.069825436408976</v>
      </c>
      <c r="Z28" s="929">
        <v>56.069825436408976</v>
      </c>
      <c r="AA28" s="929">
        <v>56.069825436408976</v>
      </c>
      <c r="AB28" s="942">
        <v>56.069825436408976</v>
      </c>
      <c r="AC28" s="943">
        <v>672.83790523690777</v>
      </c>
      <c r="AD28" s="921">
        <v>57.303361596009978</v>
      </c>
      <c r="AE28" s="968">
        <v>57.303361596009978</v>
      </c>
      <c r="AF28" s="968">
        <v>57.303361596009978</v>
      </c>
      <c r="AG28" s="968">
        <v>57.303361596009978</v>
      </c>
      <c r="AH28" s="968">
        <v>57.303361596009978</v>
      </c>
      <c r="AI28" s="968">
        <v>57.303361596009978</v>
      </c>
      <c r="AJ28" s="968">
        <v>57.303361596009978</v>
      </c>
      <c r="AK28" s="968">
        <v>57.303361596009978</v>
      </c>
      <c r="AL28" s="968">
        <v>57.303361596009978</v>
      </c>
      <c r="AM28" s="968">
        <v>57.303361596009978</v>
      </c>
      <c r="AN28" s="968">
        <v>57.303361596009978</v>
      </c>
      <c r="AO28" s="975">
        <v>57.303361596009978</v>
      </c>
      <c r="AP28" s="943">
        <v>687.64033915211951</v>
      </c>
      <c r="AQ28" s="941">
        <v>58.564035551122203</v>
      </c>
      <c r="AR28" s="929">
        <v>58.564035551122203</v>
      </c>
      <c r="AS28" s="929">
        <v>58.564035551122203</v>
      </c>
      <c r="AT28" s="929">
        <v>58.564035551122203</v>
      </c>
      <c r="AU28" s="929">
        <v>58.564035551122203</v>
      </c>
      <c r="AV28" s="929">
        <v>58.564035551122203</v>
      </c>
      <c r="AW28" s="929">
        <v>58.564035551122203</v>
      </c>
      <c r="AX28" s="929">
        <v>58.564035551122203</v>
      </c>
      <c r="AY28" s="929">
        <v>58.564035551122203</v>
      </c>
      <c r="AZ28" s="929">
        <v>58.564035551122203</v>
      </c>
      <c r="BA28" s="929">
        <v>58.564035551122203</v>
      </c>
      <c r="BB28" s="942">
        <v>58.564035551122203</v>
      </c>
      <c r="BC28" s="943">
        <v>702.7684266134662</v>
      </c>
      <c r="BD28" s="941">
        <v>59.852444333246893</v>
      </c>
      <c r="BE28" s="929">
        <v>59.852444333246893</v>
      </c>
      <c r="BF28" s="929">
        <v>59.852444333246893</v>
      </c>
      <c r="BG28" s="929">
        <v>59.852444333246893</v>
      </c>
      <c r="BH28" s="929">
        <v>59.852444333246893</v>
      </c>
      <c r="BI28" s="929">
        <v>59.852444333246893</v>
      </c>
      <c r="BJ28" s="929">
        <v>59.852444333246893</v>
      </c>
      <c r="BK28" s="929">
        <v>59.852444333246893</v>
      </c>
      <c r="BL28" s="929">
        <v>59.852444333246893</v>
      </c>
      <c r="BM28" s="929">
        <v>59.852444333246893</v>
      </c>
      <c r="BN28" s="929">
        <v>59.852444333246893</v>
      </c>
      <c r="BO28" s="942">
        <v>59.852444333246893</v>
      </c>
      <c r="BP28" s="943">
        <v>718.22933199896295</v>
      </c>
    </row>
    <row r="29" spans="2:83" ht="15" thickBot="1">
      <c r="B29" s="1729"/>
      <c r="C29" s="462" t="s">
        <v>1158</v>
      </c>
      <c r="D29" s="965">
        <v>200</v>
      </c>
      <c r="E29" s="947">
        <v>200</v>
      </c>
      <c r="F29" s="947">
        <v>200</v>
      </c>
      <c r="G29" s="947">
        <v>200</v>
      </c>
      <c r="H29" s="947">
        <v>200</v>
      </c>
      <c r="I29" s="947">
        <v>200</v>
      </c>
      <c r="J29" s="947">
        <v>200</v>
      </c>
      <c r="K29" s="947">
        <v>200</v>
      </c>
      <c r="L29" s="947">
        <v>200</v>
      </c>
      <c r="M29" s="947">
        <v>200</v>
      </c>
      <c r="N29" s="947">
        <v>200</v>
      </c>
      <c r="O29" s="1130">
        <v>200</v>
      </c>
      <c r="P29" s="920">
        <v>2400</v>
      </c>
      <c r="Q29" s="946">
        <v>300</v>
      </c>
      <c r="R29" s="947">
        <v>300</v>
      </c>
      <c r="S29" s="947">
        <v>300</v>
      </c>
      <c r="T29" s="947">
        <v>300</v>
      </c>
      <c r="U29" s="947">
        <v>300</v>
      </c>
      <c r="V29" s="947">
        <v>300</v>
      </c>
      <c r="W29" s="947">
        <v>300</v>
      </c>
      <c r="X29" s="947">
        <v>300</v>
      </c>
      <c r="Y29" s="947">
        <v>300</v>
      </c>
      <c r="Z29" s="947">
        <v>300</v>
      </c>
      <c r="AA29" s="947">
        <v>300</v>
      </c>
      <c r="AB29" s="948">
        <v>300</v>
      </c>
      <c r="AC29" s="920">
        <v>3600</v>
      </c>
      <c r="AD29" s="950">
        <v>450</v>
      </c>
      <c r="AE29" s="1262">
        <v>450</v>
      </c>
      <c r="AF29" s="1262">
        <v>450</v>
      </c>
      <c r="AG29" s="1262">
        <v>450</v>
      </c>
      <c r="AH29" s="1262">
        <v>450</v>
      </c>
      <c r="AI29" s="1262">
        <v>450</v>
      </c>
      <c r="AJ29" s="1262">
        <v>450</v>
      </c>
      <c r="AK29" s="1262">
        <v>450</v>
      </c>
      <c r="AL29" s="1262">
        <v>450</v>
      </c>
      <c r="AM29" s="1262">
        <v>450</v>
      </c>
      <c r="AN29" s="1262">
        <v>450</v>
      </c>
      <c r="AO29" s="1263">
        <v>450</v>
      </c>
      <c r="AP29" s="920">
        <v>5400</v>
      </c>
      <c r="AQ29" s="946">
        <v>459.90000000000003</v>
      </c>
      <c r="AR29" s="947">
        <v>459.90000000000003</v>
      </c>
      <c r="AS29" s="947">
        <v>459.90000000000003</v>
      </c>
      <c r="AT29" s="947">
        <v>459.90000000000003</v>
      </c>
      <c r="AU29" s="947">
        <v>459.90000000000003</v>
      </c>
      <c r="AV29" s="947">
        <v>459.90000000000003</v>
      </c>
      <c r="AW29" s="947">
        <v>459.90000000000003</v>
      </c>
      <c r="AX29" s="947">
        <v>459.90000000000003</v>
      </c>
      <c r="AY29" s="947">
        <v>459.90000000000003</v>
      </c>
      <c r="AZ29" s="947">
        <v>459.90000000000003</v>
      </c>
      <c r="BA29" s="947">
        <v>459.90000000000003</v>
      </c>
      <c r="BB29" s="948">
        <v>459.90000000000003</v>
      </c>
      <c r="BC29" s="920">
        <v>5518.7999999999993</v>
      </c>
      <c r="BD29" s="946">
        <v>551.88</v>
      </c>
      <c r="BE29" s="947">
        <v>551.88</v>
      </c>
      <c r="BF29" s="947">
        <v>551.88</v>
      </c>
      <c r="BG29" s="947">
        <v>551.88</v>
      </c>
      <c r="BH29" s="947">
        <v>551.88</v>
      </c>
      <c r="BI29" s="947">
        <v>551.88</v>
      </c>
      <c r="BJ29" s="947">
        <v>551.88</v>
      </c>
      <c r="BK29" s="947">
        <v>551.88</v>
      </c>
      <c r="BL29" s="947">
        <v>551.88</v>
      </c>
      <c r="BM29" s="947">
        <v>551.88</v>
      </c>
      <c r="BN29" s="947">
        <v>551.88</v>
      </c>
      <c r="BO29" s="948">
        <v>551.88</v>
      </c>
      <c r="BP29" s="920">
        <v>6622.56</v>
      </c>
    </row>
    <row r="30" spans="2:83">
      <c r="B30" s="1739" t="s">
        <v>1159</v>
      </c>
      <c r="C30" s="313" t="s">
        <v>1036</v>
      </c>
      <c r="D30" s="931">
        <v>50</v>
      </c>
      <c r="E30" s="938">
        <v>50</v>
      </c>
      <c r="F30" s="938">
        <v>50</v>
      </c>
      <c r="G30" s="938">
        <v>50</v>
      </c>
      <c r="H30" s="938">
        <v>50</v>
      </c>
      <c r="I30" s="938">
        <v>50</v>
      </c>
      <c r="J30" s="938">
        <v>50</v>
      </c>
      <c r="K30" s="938">
        <v>50</v>
      </c>
      <c r="L30" s="938">
        <v>50</v>
      </c>
      <c r="M30" s="938">
        <v>50</v>
      </c>
      <c r="N30" s="938">
        <v>50</v>
      </c>
      <c r="O30" s="939">
        <v>50</v>
      </c>
      <c r="P30" s="932">
        <v>600</v>
      </c>
      <c r="Q30" s="931">
        <v>60</v>
      </c>
      <c r="R30" s="938">
        <v>60</v>
      </c>
      <c r="S30" s="938">
        <v>60</v>
      </c>
      <c r="T30" s="938">
        <v>60</v>
      </c>
      <c r="U30" s="938">
        <v>60</v>
      </c>
      <c r="V30" s="938">
        <v>60</v>
      </c>
      <c r="W30" s="938">
        <v>60</v>
      </c>
      <c r="X30" s="938">
        <v>60</v>
      </c>
      <c r="Y30" s="938">
        <v>60</v>
      </c>
      <c r="Z30" s="938">
        <v>60</v>
      </c>
      <c r="AA30" s="938">
        <v>60</v>
      </c>
      <c r="AB30" s="939">
        <v>60</v>
      </c>
      <c r="AC30" s="932">
        <v>720</v>
      </c>
      <c r="AD30" s="933">
        <v>84</v>
      </c>
      <c r="AE30" s="969">
        <v>84</v>
      </c>
      <c r="AF30" s="969">
        <v>84</v>
      </c>
      <c r="AG30" s="969">
        <v>84</v>
      </c>
      <c r="AH30" s="969">
        <v>84</v>
      </c>
      <c r="AI30" s="969">
        <v>84</v>
      </c>
      <c r="AJ30" s="969">
        <v>84</v>
      </c>
      <c r="AK30" s="969">
        <v>84</v>
      </c>
      <c r="AL30" s="969">
        <v>84</v>
      </c>
      <c r="AM30" s="969">
        <v>84</v>
      </c>
      <c r="AN30" s="969">
        <v>84</v>
      </c>
      <c r="AO30" s="974">
        <v>84</v>
      </c>
      <c r="AP30" s="932">
        <v>1008</v>
      </c>
      <c r="AQ30" s="931">
        <v>92</v>
      </c>
      <c r="AR30" s="938">
        <v>92</v>
      </c>
      <c r="AS30" s="938">
        <v>92</v>
      </c>
      <c r="AT30" s="938">
        <v>92</v>
      </c>
      <c r="AU30" s="938">
        <v>92</v>
      </c>
      <c r="AV30" s="938">
        <v>92</v>
      </c>
      <c r="AW30" s="938">
        <v>92</v>
      </c>
      <c r="AX30" s="938">
        <v>92</v>
      </c>
      <c r="AY30" s="938">
        <v>92</v>
      </c>
      <c r="AZ30" s="938">
        <v>92</v>
      </c>
      <c r="BA30" s="938">
        <v>92</v>
      </c>
      <c r="BB30" s="939">
        <v>92</v>
      </c>
      <c r="BC30" s="932">
        <v>1104</v>
      </c>
      <c r="BD30" s="931">
        <v>104</v>
      </c>
      <c r="BE30" s="938">
        <v>104</v>
      </c>
      <c r="BF30" s="938">
        <v>104</v>
      </c>
      <c r="BG30" s="938">
        <v>104</v>
      </c>
      <c r="BH30" s="938">
        <v>104</v>
      </c>
      <c r="BI30" s="938">
        <v>104</v>
      </c>
      <c r="BJ30" s="938">
        <v>104</v>
      </c>
      <c r="BK30" s="938">
        <v>104</v>
      </c>
      <c r="BL30" s="938">
        <v>104</v>
      </c>
      <c r="BM30" s="938">
        <v>104</v>
      </c>
      <c r="BN30" s="938">
        <v>104</v>
      </c>
      <c r="BO30" s="939">
        <v>104</v>
      </c>
      <c r="BP30" s="932">
        <v>1248</v>
      </c>
    </row>
    <row r="31" spans="2:83">
      <c r="B31" s="1740"/>
      <c r="C31" s="274" t="s">
        <v>218</v>
      </c>
      <c r="D31" s="941">
        <v>847.88029925187038</v>
      </c>
      <c r="E31" s="929">
        <v>847.88029925187038</v>
      </c>
      <c r="F31" s="929">
        <v>847.88029925187038</v>
      </c>
      <c r="G31" s="929">
        <v>847.88029925187038</v>
      </c>
      <c r="H31" s="929">
        <v>847.88029925187038</v>
      </c>
      <c r="I31" s="929">
        <v>847.88029925187038</v>
      </c>
      <c r="J31" s="929">
        <v>847.88029925187038</v>
      </c>
      <c r="K31" s="929">
        <v>847.88029925187038</v>
      </c>
      <c r="L31" s="929">
        <v>847.88029925187038</v>
      </c>
      <c r="M31" s="929">
        <v>847.88029925187038</v>
      </c>
      <c r="N31" s="929">
        <v>847.88029925187038</v>
      </c>
      <c r="O31" s="942">
        <v>847.88029925187038</v>
      </c>
      <c r="P31" s="943">
        <v>10174.563591022445</v>
      </c>
      <c r="Q31" s="941">
        <v>1386.4538653366583</v>
      </c>
      <c r="R31" s="929">
        <v>1386.4538653366583</v>
      </c>
      <c r="S31" s="929">
        <v>1386.4538653366583</v>
      </c>
      <c r="T31" s="929">
        <v>1386.4538653366583</v>
      </c>
      <c r="U31" s="929">
        <v>1386.4538653366583</v>
      </c>
      <c r="V31" s="929">
        <v>1386.4538653366583</v>
      </c>
      <c r="W31" s="929">
        <v>1386.4538653366583</v>
      </c>
      <c r="X31" s="929">
        <v>1386.4538653366583</v>
      </c>
      <c r="Y31" s="929">
        <v>1386.4538653366583</v>
      </c>
      <c r="Z31" s="929">
        <v>1386.4538653366583</v>
      </c>
      <c r="AA31" s="929">
        <v>1386.4538653366583</v>
      </c>
      <c r="AB31" s="942">
        <v>1386.4538653366583</v>
      </c>
      <c r="AC31" s="943">
        <v>16637.4463840399</v>
      </c>
      <c r="AD31" s="921">
        <v>1771.1948129675809</v>
      </c>
      <c r="AE31" s="968">
        <v>1771.1948129675809</v>
      </c>
      <c r="AF31" s="968">
        <v>1771.1948129675809</v>
      </c>
      <c r="AG31" s="968">
        <v>1771.1948129675809</v>
      </c>
      <c r="AH31" s="968">
        <v>1771.1948129675809</v>
      </c>
      <c r="AI31" s="968">
        <v>1771.1948129675809</v>
      </c>
      <c r="AJ31" s="968">
        <v>1771.1948129675809</v>
      </c>
      <c r="AK31" s="968">
        <v>1771.1948129675809</v>
      </c>
      <c r="AL31" s="968">
        <v>1771.1948129675809</v>
      </c>
      <c r="AM31" s="968">
        <v>1771.1948129675809</v>
      </c>
      <c r="AN31" s="968">
        <v>1771.1948129675809</v>
      </c>
      <c r="AO31" s="975">
        <v>1771.1948129675809</v>
      </c>
      <c r="AP31" s="943">
        <v>21254.337755610966</v>
      </c>
      <c r="AQ31" s="941">
        <v>2353.2094285087278</v>
      </c>
      <c r="AR31" s="929">
        <v>2353.2094285087278</v>
      </c>
      <c r="AS31" s="929">
        <v>2353.2094285087278</v>
      </c>
      <c r="AT31" s="929">
        <v>2353.2094285087278</v>
      </c>
      <c r="AU31" s="929">
        <v>2353.2094285087278</v>
      </c>
      <c r="AV31" s="929">
        <v>2353.2094285087278</v>
      </c>
      <c r="AW31" s="929">
        <v>2353.2094285087278</v>
      </c>
      <c r="AX31" s="929">
        <v>2353.2094285087278</v>
      </c>
      <c r="AY31" s="929">
        <v>2353.2094285087278</v>
      </c>
      <c r="AZ31" s="929">
        <v>2353.2094285087278</v>
      </c>
      <c r="BA31" s="929">
        <v>2353.2094285087278</v>
      </c>
      <c r="BB31" s="942">
        <v>2353.2094285087278</v>
      </c>
      <c r="BC31" s="943">
        <v>28238.513142104741</v>
      </c>
      <c r="BD31" s="941">
        <v>3144.9738931469728</v>
      </c>
      <c r="BE31" s="929">
        <v>3144.9738931469728</v>
      </c>
      <c r="BF31" s="929">
        <v>3144.9738931469728</v>
      </c>
      <c r="BG31" s="929">
        <v>3144.9738931469728</v>
      </c>
      <c r="BH31" s="929">
        <v>3144.9738931469728</v>
      </c>
      <c r="BI31" s="929">
        <v>3144.9738931469728</v>
      </c>
      <c r="BJ31" s="929">
        <v>3144.9738931469728</v>
      </c>
      <c r="BK31" s="929">
        <v>3144.9738931469728</v>
      </c>
      <c r="BL31" s="929">
        <v>3144.9738931469728</v>
      </c>
      <c r="BM31" s="929">
        <v>3144.9738931469728</v>
      </c>
      <c r="BN31" s="929">
        <v>3144.9738931469728</v>
      </c>
      <c r="BO31" s="942">
        <v>3144.9738931469728</v>
      </c>
      <c r="BP31" s="943">
        <v>37739.686717763674</v>
      </c>
    </row>
    <row r="32" spans="2:83">
      <c r="B32" s="1740"/>
      <c r="C32" s="274" t="s">
        <v>1160</v>
      </c>
      <c r="D32" s="941">
        <v>500</v>
      </c>
      <c r="E32" s="929">
        <v>500</v>
      </c>
      <c r="F32" s="929">
        <v>500</v>
      </c>
      <c r="G32" s="929">
        <v>500</v>
      </c>
      <c r="H32" s="929">
        <v>500</v>
      </c>
      <c r="I32" s="929">
        <v>500</v>
      </c>
      <c r="J32" s="929">
        <v>500</v>
      </c>
      <c r="K32" s="929">
        <v>500</v>
      </c>
      <c r="L32" s="929">
        <v>500</v>
      </c>
      <c r="M32" s="929">
        <v>500</v>
      </c>
      <c r="N32" s="929">
        <v>500</v>
      </c>
      <c r="O32" s="942">
        <v>500</v>
      </c>
      <c r="P32" s="943">
        <v>6000</v>
      </c>
      <c r="Q32" s="941">
        <v>700</v>
      </c>
      <c r="R32" s="929">
        <v>700</v>
      </c>
      <c r="S32" s="929">
        <v>700</v>
      </c>
      <c r="T32" s="929">
        <v>700</v>
      </c>
      <c r="U32" s="929">
        <v>700</v>
      </c>
      <c r="V32" s="929">
        <v>700</v>
      </c>
      <c r="W32" s="929">
        <v>700</v>
      </c>
      <c r="X32" s="929">
        <v>700</v>
      </c>
      <c r="Y32" s="929">
        <v>700</v>
      </c>
      <c r="Z32" s="929">
        <v>700</v>
      </c>
      <c r="AA32" s="929">
        <v>700</v>
      </c>
      <c r="AB32" s="942">
        <v>700</v>
      </c>
      <c r="AC32" s="943">
        <v>8400</v>
      </c>
      <c r="AD32" s="921">
        <v>900</v>
      </c>
      <c r="AE32" s="968">
        <v>900</v>
      </c>
      <c r="AF32" s="968">
        <v>900</v>
      </c>
      <c r="AG32" s="968">
        <v>900</v>
      </c>
      <c r="AH32" s="968">
        <v>900</v>
      </c>
      <c r="AI32" s="968">
        <v>900</v>
      </c>
      <c r="AJ32" s="968">
        <v>900</v>
      </c>
      <c r="AK32" s="968">
        <v>900</v>
      </c>
      <c r="AL32" s="968">
        <v>900</v>
      </c>
      <c r="AM32" s="968">
        <v>900</v>
      </c>
      <c r="AN32" s="968">
        <v>900</v>
      </c>
      <c r="AO32" s="975">
        <v>900</v>
      </c>
      <c r="AP32" s="943">
        <v>10800</v>
      </c>
      <c r="AQ32" s="941">
        <v>1200</v>
      </c>
      <c r="AR32" s="929">
        <v>1200</v>
      </c>
      <c r="AS32" s="929">
        <v>1200</v>
      </c>
      <c r="AT32" s="929">
        <v>1200</v>
      </c>
      <c r="AU32" s="929">
        <v>1200</v>
      </c>
      <c r="AV32" s="929">
        <v>1200</v>
      </c>
      <c r="AW32" s="929">
        <v>1200</v>
      </c>
      <c r="AX32" s="929">
        <v>1200</v>
      </c>
      <c r="AY32" s="929">
        <v>1200</v>
      </c>
      <c r="AZ32" s="929">
        <v>1200</v>
      </c>
      <c r="BA32" s="929">
        <v>1200</v>
      </c>
      <c r="BB32" s="942">
        <v>1200</v>
      </c>
      <c r="BC32" s="943">
        <v>14400</v>
      </c>
      <c r="BD32" s="941">
        <v>1300</v>
      </c>
      <c r="BE32" s="929">
        <v>1300</v>
      </c>
      <c r="BF32" s="929">
        <v>1300</v>
      </c>
      <c r="BG32" s="929">
        <v>1300</v>
      </c>
      <c r="BH32" s="929">
        <v>1300</v>
      </c>
      <c r="BI32" s="929">
        <v>1300</v>
      </c>
      <c r="BJ32" s="929">
        <v>1300</v>
      </c>
      <c r="BK32" s="929">
        <v>1300</v>
      </c>
      <c r="BL32" s="929">
        <v>1300</v>
      </c>
      <c r="BM32" s="929">
        <v>1300</v>
      </c>
      <c r="BN32" s="929">
        <v>1300</v>
      </c>
      <c r="BO32" s="942">
        <v>1300</v>
      </c>
      <c r="BP32" s="943">
        <v>15600</v>
      </c>
    </row>
    <row r="33" spans="2:68">
      <c r="B33" s="1740"/>
      <c r="C33" s="274" t="s">
        <v>1039</v>
      </c>
      <c r="D33" s="941">
        <v>0</v>
      </c>
      <c r="E33" s="929">
        <v>0</v>
      </c>
      <c r="F33" s="929">
        <v>188.79818312958523</v>
      </c>
      <c r="G33" s="929">
        <v>269.32288500583076</v>
      </c>
      <c r="H33" s="929">
        <v>466.39720644274348</v>
      </c>
      <c r="I33" s="929">
        <v>831.55374562100917</v>
      </c>
      <c r="J33" s="929">
        <v>1136.4301844876602</v>
      </c>
      <c r="K33" s="929">
        <v>1601.5126795143365</v>
      </c>
      <c r="L33" s="929">
        <v>1632.4260986296981</v>
      </c>
      <c r="M33" s="929">
        <v>1767.5480636568482</v>
      </c>
      <c r="N33" s="929">
        <v>2051.2250658497455</v>
      </c>
      <c r="O33" s="942">
        <v>1766.6420479714282</v>
      </c>
      <c r="P33" s="943">
        <v>11711.856160308886</v>
      </c>
      <c r="Q33" s="941">
        <v>1080.9456334762287</v>
      </c>
      <c r="R33" s="929">
        <v>1079.2213156400476</v>
      </c>
      <c r="S33" s="929">
        <v>1271.4437032872759</v>
      </c>
      <c r="T33" s="929">
        <v>1208.8553406767653</v>
      </c>
      <c r="U33" s="929">
        <v>1255.7472610193511</v>
      </c>
      <c r="V33" s="929">
        <v>1398.9801878200626</v>
      </c>
      <c r="W33" s="929">
        <v>1390.1355940185324</v>
      </c>
      <c r="X33" s="929">
        <v>1538.8851908828892</v>
      </c>
      <c r="Y33" s="929">
        <v>1463.6722677232206</v>
      </c>
      <c r="Z33" s="929">
        <v>1398.049294455165</v>
      </c>
      <c r="AA33" s="929">
        <v>1451.3072908094832</v>
      </c>
      <c r="AB33" s="942">
        <v>1187.1855356901592</v>
      </c>
      <c r="AC33" s="943">
        <v>15724.428615499181</v>
      </c>
      <c r="AD33" s="921">
        <v>1210.3859315119528</v>
      </c>
      <c r="AE33" s="968">
        <v>1208.1827119956097</v>
      </c>
      <c r="AF33" s="968">
        <v>1423.0565823861514</v>
      </c>
      <c r="AG33" s="968">
        <v>1352.7051079131188</v>
      </c>
      <c r="AH33" s="968">
        <v>1404.8683269579858</v>
      </c>
      <c r="AI33" s="968">
        <v>1564.7693935077514</v>
      </c>
      <c r="AJ33" s="968">
        <v>1554.5408555067283</v>
      </c>
      <c r="AK33" s="968">
        <v>1720.5139038525365</v>
      </c>
      <c r="AL33" s="968">
        <v>1636.076403672791</v>
      </c>
      <c r="AM33" s="968">
        <v>1562.3947223930404</v>
      </c>
      <c r="AN33" s="968">
        <v>1621.574697606738</v>
      </c>
      <c r="AO33" s="975">
        <v>1326.191483533956</v>
      </c>
      <c r="AP33" s="943">
        <v>17585.26012083836</v>
      </c>
      <c r="AQ33" s="941">
        <v>901.22046436116261</v>
      </c>
      <c r="AR33" s="929">
        <v>899.39677762705116</v>
      </c>
      <c r="AS33" s="929">
        <v>1059.1394286814389</v>
      </c>
      <c r="AT33" s="929">
        <v>1006.577157010136</v>
      </c>
      <c r="AU33" s="929">
        <v>1045.1851773906023</v>
      </c>
      <c r="AV33" s="929">
        <v>1163.9178865149261</v>
      </c>
      <c r="AW33" s="929">
        <v>1156.0835155594993</v>
      </c>
      <c r="AX33" s="929">
        <v>1279.2664361511811</v>
      </c>
      <c r="AY33" s="929">
        <v>1216.249918784395</v>
      </c>
      <c r="AZ33" s="929">
        <v>1161.2536613814095</v>
      </c>
      <c r="BA33" s="929">
        <v>1205.0110784753369</v>
      </c>
      <c r="BB33" s="942">
        <v>985.32320875817504</v>
      </c>
      <c r="BC33" s="943">
        <v>13078.624710695316</v>
      </c>
      <c r="BD33" s="941">
        <v>1255.2315142210321</v>
      </c>
      <c r="BE33" s="929">
        <v>1252.4597869145055</v>
      </c>
      <c r="BF33" s="929">
        <v>1474.6396285264752</v>
      </c>
      <c r="BG33" s="929">
        <v>1401.2020254112485</v>
      </c>
      <c r="BH33" s="929">
        <v>1454.6833293898762</v>
      </c>
      <c r="BI33" s="929">
        <v>1619.6445035661566</v>
      </c>
      <c r="BJ33" s="929">
        <v>1608.4564476460241</v>
      </c>
      <c r="BK33" s="929">
        <v>1779.5263885654213</v>
      </c>
      <c r="BL33" s="929">
        <v>1691.5707462529483</v>
      </c>
      <c r="BM33" s="929">
        <v>1614.8007070021399</v>
      </c>
      <c r="BN33" s="929">
        <v>1675.3592154798234</v>
      </c>
      <c r="BO33" s="942">
        <v>1369.6867089928405</v>
      </c>
      <c r="BP33" s="943">
        <v>18197.261001968494</v>
      </c>
    </row>
    <row r="34" spans="2:68">
      <c r="B34" s="1740"/>
      <c r="C34" s="274" t="s">
        <v>1038</v>
      </c>
      <c r="D34" s="941">
        <v>1000</v>
      </c>
      <c r="E34" s="929">
        <v>1000</v>
      </c>
      <c r="F34" s="929">
        <v>1000</v>
      </c>
      <c r="G34" s="929">
        <v>1000</v>
      </c>
      <c r="H34" s="929">
        <v>1000</v>
      </c>
      <c r="I34" s="929">
        <v>1000</v>
      </c>
      <c r="J34" s="929">
        <v>1000</v>
      </c>
      <c r="K34" s="929">
        <v>1000</v>
      </c>
      <c r="L34" s="929">
        <v>1000</v>
      </c>
      <c r="M34" s="929">
        <v>1000</v>
      </c>
      <c r="N34" s="929">
        <v>1000</v>
      </c>
      <c r="O34" s="942">
        <v>1000</v>
      </c>
      <c r="P34" s="943">
        <v>12000</v>
      </c>
      <c r="Q34" s="941">
        <v>850</v>
      </c>
      <c r="R34" s="929">
        <v>850</v>
      </c>
      <c r="S34" s="929">
        <v>850</v>
      </c>
      <c r="T34" s="929">
        <v>850</v>
      </c>
      <c r="U34" s="929">
        <v>850</v>
      </c>
      <c r="V34" s="929">
        <v>850</v>
      </c>
      <c r="W34" s="929">
        <v>850</v>
      </c>
      <c r="X34" s="929">
        <v>850</v>
      </c>
      <c r="Y34" s="929">
        <v>850</v>
      </c>
      <c r="Z34" s="929">
        <v>850</v>
      </c>
      <c r="AA34" s="929">
        <v>850</v>
      </c>
      <c r="AB34" s="942">
        <v>850</v>
      </c>
      <c r="AC34" s="943">
        <v>10200</v>
      </c>
      <c r="AD34" s="921">
        <v>850</v>
      </c>
      <c r="AE34" s="968">
        <v>850</v>
      </c>
      <c r="AF34" s="968">
        <v>850</v>
      </c>
      <c r="AG34" s="968">
        <v>850</v>
      </c>
      <c r="AH34" s="968">
        <v>850</v>
      </c>
      <c r="AI34" s="968">
        <v>850</v>
      </c>
      <c r="AJ34" s="968">
        <v>850</v>
      </c>
      <c r="AK34" s="968">
        <v>850</v>
      </c>
      <c r="AL34" s="968">
        <v>850</v>
      </c>
      <c r="AM34" s="968">
        <v>850</v>
      </c>
      <c r="AN34" s="968">
        <v>850</v>
      </c>
      <c r="AO34" s="975">
        <v>850</v>
      </c>
      <c r="AP34" s="943">
        <v>10200</v>
      </c>
      <c r="AQ34" s="941">
        <v>750</v>
      </c>
      <c r="AR34" s="929">
        <v>750</v>
      </c>
      <c r="AS34" s="929">
        <v>750</v>
      </c>
      <c r="AT34" s="929">
        <v>750</v>
      </c>
      <c r="AU34" s="929">
        <v>750</v>
      </c>
      <c r="AV34" s="929">
        <v>750</v>
      </c>
      <c r="AW34" s="929">
        <v>750</v>
      </c>
      <c r="AX34" s="929">
        <v>750</v>
      </c>
      <c r="AY34" s="929">
        <v>750</v>
      </c>
      <c r="AZ34" s="929">
        <v>750</v>
      </c>
      <c r="BA34" s="929">
        <v>750</v>
      </c>
      <c r="BB34" s="942">
        <v>750</v>
      </c>
      <c r="BC34" s="943">
        <v>9000</v>
      </c>
      <c r="BD34" s="941">
        <v>750</v>
      </c>
      <c r="BE34" s="929">
        <v>750</v>
      </c>
      <c r="BF34" s="929">
        <v>750</v>
      </c>
      <c r="BG34" s="929">
        <v>750</v>
      </c>
      <c r="BH34" s="929">
        <v>750</v>
      </c>
      <c r="BI34" s="929">
        <v>750</v>
      </c>
      <c r="BJ34" s="929">
        <v>750</v>
      </c>
      <c r="BK34" s="929">
        <v>750</v>
      </c>
      <c r="BL34" s="929">
        <v>750</v>
      </c>
      <c r="BM34" s="929">
        <v>750</v>
      </c>
      <c r="BN34" s="929">
        <v>750</v>
      </c>
      <c r="BO34" s="942">
        <v>750</v>
      </c>
      <c r="BP34" s="943">
        <v>9000</v>
      </c>
    </row>
    <row r="35" spans="2:68" ht="15" thickBot="1">
      <c r="B35" s="1819"/>
      <c r="C35" s="275" t="s">
        <v>1040</v>
      </c>
      <c r="D35" s="934">
        <v>199.39820200386106</v>
      </c>
      <c r="E35" s="919">
        <v>199.39820200386106</v>
      </c>
      <c r="F35" s="919">
        <v>199.39820200386106</v>
      </c>
      <c r="G35" s="919">
        <v>199.39820200386106</v>
      </c>
      <c r="H35" s="919">
        <v>199.39820200386106</v>
      </c>
      <c r="I35" s="919">
        <v>199.39820200386106</v>
      </c>
      <c r="J35" s="919">
        <v>199.39820200386106</v>
      </c>
      <c r="K35" s="919">
        <v>199.39820200386106</v>
      </c>
      <c r="L35" s="919">
        <v>199.39820200386106</v>
      </c>
      <c r="M35" s="919">
        <v>199.39820200386106</v>
      </c>
      <c r="N35" s="919">
        <v>199.39820200386106</v>
      </c>
      <c r="O35" s="940">
        <v>199.39820200386106</v>
      </c>
      <c r="P35" s="935">
        <v>2392.7784240463329</v>
      </c>
      <c r="Q35" s="934">
        <v>709.35052564579917</v>
      </c>
      <c r="R35" s="919">
        <v>709.35052564579917</v>
      </c>
      <c r="S35" s="919">
        <v>709.35052564579917</v>
      </c>
      <c r="T35" s="919">
        <v>709.35052564579917</v>
      </c>
      <c r="U35" s="919">
        <v>709.35052564579917</v>
      </c>
      <c r="V35" s="919">
        <v>709.35052564579917</v>
      </c>
      <c r="W35" s="919">
        <v>709.35052564579917</v>
      </c>
      <c r="X35" s="919">
        <v>709.35052564579917</v>
      </c>
      <c r="Y35" s="919">
        <v>709.35052564579917</v>
      </c>
      <c r="Z35" s="919">
        <v>709.35052564579917</v>
      </c>
      <c r="AA35" s="919">
        <v>709.35052564579917</v>
      </c>
      <c r="AB35" s="940">
        <v>709.35052564579917</v>
      </c>
      <c r="AC35" s="935">
        <v>8512.2063077495895</v>
      </c>
      <c r="AD35" s="937">
        <v>788.07682370159841</v>
      </c>
      <c r="AE35" s="970">
        <v>788.07682370159841</v>
      </c>
      <c r="AF35" s="970">
        <v>788.07682370159841</v>
      </c>
      <c r="AG35" s="970">
        <v>788.07682370159841</v>
      </c>
      <c r="AH35" s="970">
        <v>788.07682370159841</v>
      </c>
      <c r="AI35" s="970">
        <v>788.07682370159841</v>
      </c>
      <c r="AJ35" s="970">
        <v>788.07682370159841</v>
      </c>
      <c r="AK35" s="970">
        <v>788.07682370159841</v>
      </c>
      <c r="AL35" s="970">
        <v>788.07682370159841</v>
      </c>
      <c r="AM35" s="970">
        <v>788.07682370159841</v>
      </c>
      <c r="AN35" s="970">
        <v>788.07682370159841</v>
      </c>
      <c r="AO35" s="976">
        <v>788.07682370159841</v>
      </c>
      <c r="AP35" s="935">
        <v>9456.9218844191801</v>
      </c>
      <c r="AQ35" s="934">
        <v>1146.4609129019432</v>
      </c>
      <c r="AR35" s="919">
        <v>1146.4609129019432</v>
      </c>
      <c r="AS35" s="919">
        <v>1146.4609129019432</v>
      </c>
      <c r="AT35" s="919">
        <v>1146.4609129019432</v>
      </c>
      <c r="AU35" s="919">
        <v>1146.4609129019432</v>
      </c>
      <c r="AV35" s="919">
        <v>1146.4609129019432</v>
      </c>
      <c r="AW35" s="919">
        <v>1146.4609129019432</v>
      </c>
      <c r="AX35" s="919">
        <v>1146.4609129019432</v>
      </c>
      <c r="AY35" s="919">
        <v>1146.4609129019432</v>
      </c>
      <c r="AZ35" s="919">
        <v>1146.4609129019432</v>
      </c>
      <c r="BA35" s="919">
        <v>1146.4609129019432</v>
      </c>
      <c r="BB35" s="940">
        <v>1146.4609129019432</v>
      </c>
      <c r="BC35" s="935">
        <v>13757.530954823314</v>
      </c>
      <c r="BD35" s="934">
        <v>1574.2585986222759</v>
      </c>
      <c r="BE35" s="919">
        <v>1574.2585986222759</v>
      </c>
      <c r="BF35" s="919">
        <v>1574.2585986222759</v>
      </c>
      <c r="BG35" s="919">
        <v>1574.2585986222759</v>
      </c>
      <c r="BH35" s="919">
        <v>1574.2585986222759</v>
      </c>
      <c r="BI35" s="919">
        <v>1574.2585986222759</v>
      </c>
      <c r="BJ35" s="919">
        <v>1574.2585986222759</v>
      </c>
      <c r="BK35" s="919">
        <v>1574.2585986222759</v>
      </c>
      <c r="BL35" s="919">
        <v>1574.2585986222759</v>
      </c>
      <c r="BM35" s="919">
        <v>1574.2585986222759</v>
      </c>
      <c r="BN35" s="919">
        <v>1574.2585986222759</v>
      </c>
      <c r="BO35" s="940">
        <v>1574.2585986222759</v>
      </c>
      <c r="BP35" s="935">
        <v>18891.103183467316</v>
      </c>
    </row>
    <row r="36" spans="2:68">
      <c r="B36" s="1727" t="s">
        <v>607</v>
      </c>
      <c r="C36" s="273" t="s">
        <v>1161</v>
      </c>
      <c r="D36" s="1264">
        <v>0</v>
      </c>
      <c r="E36" s="216">
        <v>0</v>
      </c>
      <c r="F36" s="216">
        <v>0</v>
      </c>
      <c r="G36" s="216">
        <v>0</v>
      </c>
      <c r="H36" s="216">
        <v>0</v>
      </c>
      <c r="I36" s="216">
        <v>0</v>
      </c>
      <c r="J36" s="216">
        <v>0</v>
      </c>
      <c r="K36" s="216">
        <v>0</v>
      </c>
      <c r="L36" s="216">
        <v>0</v>
      </c>
      <c r="M36" s="216">
        <v>0</v>
      </c>
      <c r="N36" s="216">
        <v>0</v>
      </c>
      <c r="O36" s="1265">
        <v>0</v>
      </c>
      <c r="P36" s="960">
        <v>0</v>
      </c>
      <c r="Q36" s="1264">
        <v>29.284940994937983</v>
      </c>
      <c r="R36" s="216">
        <v>29.284940994937983</v>
      </c>
      <c r="S36" s="216">
        <v>29.284940994937983</v>
      </c>
      <c r="T36" s="216">
        <v>29.284940994937983</v>
      </c>
      <c r="U36" s="216">
        <v>29.284940994937983</v>
      </c>
      <c r="V36" s="216">
        <v>29.284940994937983</v>
      </c>
      <c r="W36" s="216">
        <v>29.284940994937983</v>
      </c>
      <c r="X36" s="216">
        <v>29.284940994937983</v>
      </c>
      <c r="Y36" s="216">
        <v>29.284940994937983</v>
      </c>
      <c r="Z36" s="216">
        <v>29.284940994937983</v>
      </c>
      <c r="AA36" s="216">
        <v>29.284940994937983</v>
      </c>
      <c r="AB36" s="1265">
        <v>29.284940994937983</v>
      </c>
      <c r="AC36" s="1266">
        <v>351.4192919392558</v>
      </c>
      <c r="AD36" s="1267">
        <v>0</v>
      </c>
      <c r="AE36" s="821">
        <v>0</v>
      </c>
      <c r="AF36" s="821">
        <v>0</v>
      </c>
      <c r="AG36" s="821">
        <v>0</v>
      </c>
      <c r="AH36" s="821">
        <v>0</v>
      </c>
      <c r="AI36" s="821">
        <v>0</v>
      </c>
      <c r="AJ36" s="821">
        <v>0</v>
      </c>
      <c r="AK36" s="821">
        <v>0</v>
      </c>
      <c r="AL36" s="821">
        <v>0</v>
      </c>
      <c r="AM36" s="821">
        <v>0</v>
      </c>
      <c r="AN36" s="821">
        <v>0</v>
      </c>
      <c r="AO36" s="1268">
        <v>0</v>
      </c>
      <c r="AP36" s="1266">
        <v>0</v>
      </c>
      <c r="AQ36" s="1264">
        <v>0</v>
      </c>
      <c r="AR36" s="216">
        <v>0</v>
      </c>
      <c r="AS36" s="216">
        <v>0</v>
      </c>
      <c r="AT36" s="216">
        <v>0</v>
      </c>
      <c r="AU36" s="216">
        <v>0</v>
      </c>
      <c r="AV36" s="216">
        <v>0</v>
      </c>
      <c r="AW36" s="216">
        <v>0</v>
      </c>
      <c r="AX36" s="216">
        <v>0</v>
      </c>
      <c r="AY36" s="216">
        <v>0</v>
      </c>
      <c r="AZ36" s="216">
        <v>0</v>
      </c>
      <c r="BA36" s="216">
        <v>0</v>
      </c>
      <c r="BB36" s="1265">
        <v>0</v>
      </c>
      <c r="BC36" s="1266">
        <v>0</v>
      </c>
      <c r="BD36" s="1264">
        <v>0</v>
      </c>
      <c r="BE36" s="216">
        <v>0</v>
      </c>
      <c r="BF36" s="216">
        <v>0</v>
      </c>
      <c r="BG36" s="216">
        <v>0</v>
      </c>
      <c r="BH36" s="216">
        <v>0</v>
      </c>
      <c r="BI36" s="216">
        <v>0</v>
      </c>
      <c r="BJ36" s="216">
        <v>0</v>
      </c>
      <c r="BK36" s="216">
        <v>0</v>
      </c>
      <c r="BL36" s="216">
        <v>0</v>
      </c>
      <c r="BM36" s="216">
        <v>0</v>
      </c>
      <c r="BN36" s="216">
        <v>0</v>
      </c>
      <c r="BO36" s="1265">
        <v>0</v>
      </c>
      <c r="BP36" s="1266">
        <v>0</v>
      </c>
    </row>
    <row r="37" spans="2:68">
      <c r="B37" s="1728"/>
      <c r="C37" s="274" t="s">
        <v>1162</v>
      </c>
      <c r="D37" s="1120">
        <v>0</v>
      </c>
      <c r="E37" s="212">
        <v>0</v>
      </c>
      <c r="F37" s="212">
        <v>0</v>
      </c>
      <c r="G37" s="212">
        <v>0</v>
      </c>
      <c r="H37" s="212">
        <v>0</v>
      </c>
      <c r="I37" s="212">
        <v>0</v>
      </c>
      <c r="J37" s="212">
        <v>0</v>
      </c>
      <c r="K37" s="212">
        <v>0</v>
      </c>
      <c r="L37" s="212">
        <v>0</v>
      </c>
      <c r="M37" s="212">
        <v>0</v>
      </c>
      <c r="N37" s="212">
        <v>0</v>
      </c>
      <c r="O37" s="1097">
        <v>0</v>
      </c>
      <c r="P37" s="943">
        <v>0</v>
      </c>
      <c r="Q37" s="1120">
        <v>0</v>
      </c>
      <c r="R37" s="212">
        <v>0</v>
      </c>
      <c r="S37" s="212">
        <v>0</v>
      </c>
      <c r="T37" s="212">
        <v>0</v>
      </c>
      <c r="U37" s="212">
        <v>0</v>
      </c>
      <c r="V37" s="212">
        <v>0</v>
      </c>
      <c r="W37" s="212">
        <v>0</v>
      </c>
      <c r="X37" s="212">
        <v>0</v>
      </c>
      <c r="Y37" s="212">
        <v>0</v>
      </c>
      <c r="Z37" s="212">
        <v>0</v>
      </c>
      <c r="AA37" s="212">
        <v>0</v>
      </c>
      <c r="AB37" s="1097">
        <v>0</v>
      </c>
      <c r="AC37" s="1132">
        <v>0</v>
      </c>
      <c r="AD37" s="1131">
        <v>7118.5727808108923</v>
      </c>
      <c r="AE37" s="193">
        <v>7118.5727808108923</v>
      </c>
      <c r="AF37" s="193">
        <v>7118.5727808108923</v>
      </c>
      <c r="AG37" s="193">
        <v>7118.5727808108923</v>
      </c>
      <c r="AH37" s="193">
        <v>7118.5727808108923</v>
      </c>
      <c r="AI37" s="193">
        <v>7118.5727808108923</v>
      </c>
      <c r="AJ37" s="193">
        <v>7118.5727808108923</v>
      </c>
      <c r="AK37" s="193">
        <v>7118.5727808108923</v>
      </c>
      <c r="AL37" s="193">
        <v>7118.5727808108923</v>
      </c>
      <c r="AM37" s="193">
        <v>7118.5727808108923</v>
      </c>
      <c r="AN37" s="193">
        <v>7118.5727808108923</v>
      </c>
      <c r="AO37" s="1155">
        <v>7118.5727808108923</v>
      </c>
      <c r="AP37" s="1132">
        <v>85422.873369730703</v>
      </c>
      <c r="AQ37" s="1120">
        <v>0</v>
      </c>
      <c r="AR37" s="212">
        <v>0</v>
      </c>
      <c r="AS37" s="212">
        <v>0</v>
      </c>
      <c r="AT37" s="212">
        <v>0</v>
      </c>
      <c r="AU37" s="212">
        <v>0</v>
      </c>
      <c r="AV37" s="212">
        <v>0</v>
      </c>
      <c r="AW37" s="212">
        <v>0</v>
      </c>
      <c r="AX37" s="212">
        <v>0</v>
      </c>
      <c r="AY37" s="212">
        <v>0</v>
      </c>
      <c r="AZ37" s="212">
        <v>0</v>
      </c>
      <c r="BA37" s="212">
        <v>0</v>
      </c>
      <c r="BB37" s="1097">
        <v>0</v>
      </c>
      <c r="BC37" s="1132">
        <v>0</v>
      </c>
      <c r="BD37" s="1120">
        <v>0</v>
      </c>
      <c r="BE37" s="212">
        <v>0</v>
      </c>
      <c r="BF37" s="212">
        <v>0</v>
      </c>
      <c r="BG37" s="212">
        <v>0</v>
      </c>
      <c r="BH37" s="212">
        <v>0</v>
      </c>
      <c r="BI37" s="212">
        <v>0</v>
      </c>
      <c r="BJ37" s="212">
        <v>0</v>
      </c>
      <c r="BK37" s="212">
        <v>0</v>
      </c>
      <c r="BL37" s="212">
        <v>0</v>
      </c>
      <c r="BM37" s="212">
        <v>0</v>
      </c>
      <c r="BN37" s="212">
        <v>0</v>
      </c>
      <c r="BO37" s="1097">
        <v>0</v>
      </c>
      <c r="BP37" s="1132">
        <v>0</v>
      </c>
    </row>
    <row r="38" spans="2:68">
      <c r="B38" s="1728"/>
      <c r="C38" s="274" t="s">
        <v>1163</v>
      </c>
      <c r="D38" s="1120">
        <v>0</v>
      </c>
      <c r="E38" s="212">
        <v>0</v>
      </c>
      <c r="F38" s="212">
        <v>0</v>
      </c>
      <c r="G38" s="212">
        <v>0</v>
      </c>
      <c r="H38" s="212">
        <v>0</v>
      </c>
      <c r="I38" s="212">
        <v>0</v>
      </c>
      <c r="J38" s="212">
        <v>0</v>
      </c>
      <c r="K38" s="212">
        <v>0</v>
      </c>
      <c r="L38" s="212">
        <v>0</v>
      </c>
      <c r="M38" s="212">
        <v>0</v>
      </c>
      <c r="N38" s="212">
        <v>0</v>
      </c>
      <c r="O38" s="1097">
        <v>0</v>
      </c>
      <c r="P38" s="943">
        <v>0</v>
      </c>
      <c r="Q38" s="1120">
        <v>0</v>
      </c>
      <c r="R38" s="212">
        <v>0</v>
      </c>
      <c r="S38" s="212">
        <v>0</v>
      </c>
      <c r="T38" s="212">
        <v>0</v>
      </c>
      <c r="U38" s="212">
        <v>0</v>
      </c>
      <c r="V38" s="212">
        <v>0</v>
      </c>
      <c r="W38" s="212">
        <v>0</v>
      </c>
      <c r="X38" s="212">
        <v>0</v>
      </c>
      <c r="Y38" s="212">
        <v>0</v>
      </c>
      <c r="Z38" s="212">
        <v>0</v>
      </c>
      <c r="AA38" s="212">
        <v>0</v>
      </c>
      <c r="AB38" s="1097">
        <v>0</v>
      </c>
      <c r="AC38" s="1132">
        <v>0</v>
      </c>
      <c r="AD38" s="1131">
        <v>0</v>
      </c>
      <c r="AE38" s="193">
        <v>0</v>
      </c>
      <c r="AF38" s="193">
        <v>0</v>
      </c>
      <c r="AG38" s="193">
        <v>0</v>
      </c>
      <c r="AH38" s="193">
        <v>0</v>
      </c>
      <c r="AI38" s="193">
        <v>0</v>
      </c>
      <c r="AJ38" s="193">
        <v>0</v>
      </c>
      <c r="AK38" s="193">
        <v>0</v>
      </c>
      <c r="AL38" s="193">
        <v>0</v>
      </c>
      <c r="AM38" s="193">
        <v>0</v>
      </c>
      <c r="AN38" s="193">
        <v>0</v>
      </c>
      <c r="AO38" s="1155">
        <v>0</v>
      </c>
      <c r="AP38" s="1132">
        <v>0</v>
      </c>
      <c r="AQ38" s="1120">
        <v>18910.54705657778</v>
      </c>
      <c r="AR38" s="212">
        <v>18910.54705657778</v>
      </c>
      <c r="AS38" s="212">
        <v>18910.54705657778</v>
      </c>
      <c r="AT38" s="212">
        <v>18910.54705657778</v>
      </c>
      <c r="AU38" s="212">
        <v>18910.54705657778</v>
      </c>
      <c r="AV38" s="212">
        <v>18910.54705657778</v>
      </c>
      <c r="AW38" s="212">
        <v>18910.54705657778</v>
      </c>
      <c r="AX38" s="212">
        <v>18910.54705657778</v>
      </c>
      <c r="AY38" s="212">
        <v>18910.54705657778</v>
      </c>
      <c r="AZ38" s="212">
        <v>18910.54705657778</v>
      </c>
      <c r="BA38" s="212">
        <v>18910.54705657778</v>
      </c>
      <c r="BB38" s="1097">
        <v>18910.54705657778</v>
      </c>
      <c r="BC38" s="1132">
        <v>226926.56467893336</v>
      </c>
      <c r="BD38" s="1120">
        <v>34314.356354093499</v>
      </c>
      <c r="BE38" s="212">
        <v>34314.356354093499</v>
      </c>
      <c r="BF38" s="212">
        <v>34314.356354093499</v>
      </c>
      <c r="BG38" s="212">
        <v>34314.356354093499</v>
      </c>
      <c r="BH38" s="212">
        <v>34314.356354093499</v>
      </c>
      <c r="BI38" s="212">
        <v>34314.356354093499</v>
      </c>
      <c r="BJ38" s="212">
        <v>34314.356354093499</v>
      </c>
      <c r="BK38" s="212">
        <v>34314.356354093499</v>
      </c>
      <c r="BL38" s="212">
        <v>34314.356354093499</v>
      </c>
      <c r="BM38" s="212">
        <v>34314.356354093499</v>
      </c>
      <c r="BN38" s="212">
        <v>34314.356354093499</v>
      </c>
      <c r="BO38" s="1097">
        <v>34314.356354093499</v>
      </c>
      <c r="BP38" s="1132">
        <v>411772.27624912199</v>
      </c>
    </row>
    <row r="39" spans="2:68" ht="15" thickBot="1">
      <c r="B39" s="1729"/>
      <c r="C39" s="275" t="s">
        <v>1164</v>
      </c>
      <c r="D39" s="1121">
        <v>0</v>
      </c>
      <c r="E39" s="1121">
        <v>0</v>
      </c>
      <c r="F39" s="1121">
        <v>56.639454938875559</v>
      </c>
      <c r="G39" s="1121">
        <v>80.79686550174921</v>
      </c>
      <c r="H39" s="1121">
        <v>139.91916193282304</v>
      </c>
      <c r="I39" s="1121">
        <v>249.46612368630272</v>
      </c>
      <c r="J39" s="1121">
        <v>340.92905534629801</v>
      </c>
      <c r="K39" s="1121">
        <v>480.45380385430087</v>
      </c>
      <c r="L39" s="1121">
        <v>489.72782958890934</v>
      </c>
      <c r="M39" s="1121">
        <v>530.26441909705443</v>
      </c>
      <c r="N39" s="1121">
        <v>615.36751975492359</v>
      </c>
      <c r="O39" s="1121">
        <v>529.99261439142833</v>
      </c>
      <c r="P39" s="935">
        <v>3513.5568480926649</v>
      </c>
      <c r="Q39" s="1121">
        <v>1080.9456334762285</v>
      </c>
      <c r="R39" s="1121">
        <v>1079.2213156400478</v>
      </c>
      <c r="S39" s="1121">
        <v>1271.4437032872759</v>
      </c>
      <c r="T39" s="1121">
        <v>1208.8553406767653</v>
      </c>
      <c r="U39" s="1121">
        <v>1255.7472610193511</v>
      </c>
      <c r="V39" s="1121">
        <v>1398.9801878200626</v>
      </c>
      <c r="W39" s="1121">
        <v>1390.1355940185324</v>
      </c>
      <c r="X39" s="1121">
        <v>1538.8851908828892</v>
      </c>
      <c r="Y39" s="1121">
        <v>1463.6722677232206</v>
      </c>
      <c r="Z39" s="1121">
        <v>1398.049294455165</v>
      </c>
      <c r="AA39" s="1121">
        <v>1451.3072908094832</v>
      </c>
      <c r="AB39" s="1121">
        <v>1187.1855356901592</v>
      </c>
      <c r="AC39" s="1133">
        <v>15724.428615499177</v>
      </c>
      <c r="AD39" s="1121">
        <v>1815.5788972679293</v>
      </c>
      <c r="AE39" s="1121">
        <v>1812.2740679934145</v>
      </c>
      <c r="AF39" s="1121">
        <v>2134.5848735792274</v>
      </c>
      <c r="AG39" s="1121">
        <v>2029.0576618696784</v>
      </c>
      <c r="AH39" s="1121">
        <v>2107.302490436979</v>
      </c>
      <c r="AI39" s="1121">
        <v>2347.1540902616271</v>
      </c>
      <c r="AJ39" s="1121">
        <v>2331.8112832600928</v>
      </c>
      <c r="AK39" s="1121">
        <v>2580.7708557788051</v>
      </c>
      <c r="AL39" s="1121">
        <v>2454.1146055091867</v>
      </c>
      <c r="AM39" s="1121">
        <v>2343.5920835895608</v>
      </c>
      <c r="AN39" s="1121">
        <v>2432.3620464101073</v>
      </c>
      <c r="AO39" s="1121">
        <v>1989.2872253009341</v>
      </c>
      <c r="AP39" s="1133">
        <v>26377.890181257539</v>
      </c>
      <c r="AQ39" s="1121">
        <v>2703.6613930834874</v>
      </c>
      <c r="AR39" s="1121">
        <v>2698.1903328811532</v>
      </c>
      <c r="AS39" s="1121">
        <v>3177.4182860443166</v>
      </c>
      <c r="AT39" s="1121">
        <v>3019.7314710304081</v>
      </c>
      <c r="AU39" s="1121">
        <v>3135.555532171807</v>
      </c>
      <c r="AV39" s="1121">
        <v>3491.7536595447777</v>
      </c>
      <c r="AW39" s="1121">
        <v>3468.2505466784978</v>
      </c>
      <c r="AX39" s="1121">
        <v>3837.7993084535428</v>
      </c>
      <c r="AY39" s="1121">
        <v>3648.7497563531851</v>
      </c>
      <c r="AZ39" s="1121">
        <v>3483.7609841442281</v>
      </c>
      <c r="BA39" s="1121">
        <v>3615.0332354260104</v>
      </c>
      <c r="BB39" s="1121">
        <v>2955.9696262745247</v>
      </c>
      <c r="BC39" s="1133">
        <v>39235.874132085934</v>
      </c>
      <c r="BD39" s="1121">
        <v>3765.6945426630955</v>
      </c>
      <c r="BE39" s="1121">
        <v>3757.3793607435164</v>
      </c>
      <c r="BF39" s="1121">
        <v>4423.9188855794255</v>
      </c>
      <c r="BG39" s="1121">
        <v>4203.6060762337456</v>
      </c>
      <c r="BH39" s="1121">
        <v>4364.0499881696287</v>
      </c>
      <c r="BI39" s="1121">
        <v>4858.933510698469</v>
      </c>
      <c r="BJ39" s="1121">
        <v>4825.3693429380719</v>
      </c>
      <c r="BK39" s="1121">
        <v>5338.5791656962629</v>
      </c>
      <c r="BL39" s="1121">
        <v>5074.7122387588443</v>
      </c>
      <c r="BM39" s="1121">
        <v>4844.4021210064184</v>
      </c>
      <c r="BN39" s="1121">
        <v>5026.0776464394694</v>
      </c>
      <c r="BO39" s="1121">
        <v>4109.0601269785211</v>
      </c>
      <c r="BP39" s="1133">
        <v>54591.783005905469</v>
      </c>
    </row>
    <row r="40" spans="2:68" ht="15" thickBot="1">
      <c r="B40" s="302"/>
      <c r="C40" s="327"/>
      <c r="D40" s="922"/>
      <c r="E40" s="923"/>
      <c r="F40" s="923"/>
      <c r="G40" s="923"/>
      <c r="H40" s="923"/>
      <c r="I40" s="923"/>
      <c r="J40" s="923"/>
      <c r="K40" s="923"/>
      <c r="L40" s="923"/>
      <c r="M40" s="923"/>
      <c r="N40" s="923"/>
      <c r="O40" s="924"/>
      <c r="P40" s="925"/>
      <c r="Q40" s="957"/>
      <c r="R40" s="952"/>
      <c r="S40" s="952"/>
      <c r="T40" s="952"/>
      <c r="U40" s="952"/>
      <c r="V40" s="952"/>
      <c r="W40" s="952"/>
      <c r="X40" s="952"/>
      <c r="Y40" s="952"/>
      <c r="Z40" s="952"/>
      <c r="AA40" s="952"/>
      <c r="AB40" s="953"/>
      <c r="AC40" s="954"/>
      <c r="AD40" s="955"/>
      <c r="AE40" s="955"/>
      <c r="AF40" s="955"/>
      <c r="AG40" s="955"/>
      <c r="AH40" s="955"/>
      <c r="AI40" s="955"/>
      <c r="AJ40" s="955"/>
      <c r="AK40" s="955"/>
      <c r="AL40" s="955"/>
      <c r="AM40" s="955"/>
      <c r="AN40" s="955"/>
      <c r="AO40" s="956"/>
      <c r="AP40" s="954"/>
      <c r="AQ40" s="957"/>
      <c r="AR40" s="952"/>
      <c r="AS40" s="952"/>
      <c r="AT40" s="952"/>
      <c r="AU40" s="952"/>
      <c r="AV40" s="952"/>
      <c r="AW40" s="952"/>
      <c r="AX40" s="952"/>
      <c r="AY40" s="952"/>
      <c r="AZ40" s="952"/>
      <c r="BA40" s="952"/>
      <c r="BB40" s="953"/>
      <c r="BC40" s="954"/>
      <c r="BD40" s="957"/>
      <c r="BE40" s="952"/>
      <c r="BF40" s="952"/>
      <c r="BG40" s="952"/>
      <c r="BH40" s="952"/>
      <c r="BI40" s="952"/>
      <c r="BJ40" s="952"/>
      <c r="BK40" s="952"/>
      <c r="BL40" s="952"/>
      <c r="BM40" s="952"/>
      <c r="BN40" s="952"/>
      <c r="BO40" s="953"/>
      <c r="BP40" s="954"/>
    </row>
    <row r="41" spans="2:68">
      <c r="B41" s="304" t="s">
        <v>1165</v>
      </c>
      <c r="C41" s="326"/>
      <c r="D41" s="958">
        <v>20401.141582006007</v>
      </c>
      <c r="E41" s="958">
        <v>20401.141582006007</v>
      </c>
      <c r="F41" s="958">
        <v>45503.104113887719</v>
      </c>
      <c r="G41" s="958">
        <v>43348.102145071083</v>
      </c>
      <c r="H41" s="958">
        <v>44734.140803566945</v>
      </c>
      <c r="I41" s="958">
        <v>44079.002263870818</v>
      </c>
      <c r="J41" s="958">
        <v>45040.262654711398</v>
      </c>
      <c r="K41" s="958">
        <v>47961.046081533226</v>
      </c>
      <c r="L41" s="958">
        <v>46843.145434739628</v>
      </c>
      <c r="M41" s="958">
        <v>47018.803989274915</v>
      </c>
      <c r="N41" s="958">
        <v>46229.496000482104</v>
      </c>
      <c r="O41" s="959">
        <v>48175.714260527442</v>
      </c>
      <c r="P41" s="932">
        <v>499735.10091167735</v>
      </c>
      <c r="Q41" s="931">
        <v>77034.919124516353</v>
      </c>
      <c r="R41" s="958">
        <v>74672.11932972139</v>
      </c>
      <c r="S41" s="958">
        <v>79775.266423261113</v>
      </c>
      <c r="T41" s="958">
        <v>74931.387379794804</v>
      </c>
      <c r="U41" s="958">
        <v>77384.522379602611</v>
      </c>
      <c r="V41" s="958">
        <v>75311.637074081416</v>
      </c>
      <c r="W41" s="958">
        <v>78069.655132504966</v>
      </c>
      <c r="X41" s="958">
        <v>83363.427369081634</v>
      </c>
      <c r="Y41" s="958">
        <v>80714.865001338316</v>
      </c>
      <c r="Z41" s="958">
        <v>80583.619054802213</v>
      </c>
      <c r="AA41" s="958">
        <v>78191.998526086856</v>
      </c>
      <c r="AB41" s="959">
        <v>82660.028058696174</v>
      </c>
      <c r="AC41" s="960">
        <v>942693.44485348731</v>
      </c>
      <c r="AD41" s="944">
        <v>94687.306549315821</v>
      </c>
      <c r="AE41" s="959">
        <v>92127.001774572607</v>
      </c>
      <c r="AF41" s="959">
        <v>97773.779902453694</v>
      </c>
      <c r="AG41" s="959">
        <v>92488.307764366371</v>
      </c>
      <c r="AH41" s="959">
        <v>95173.512537930917</v>
      </c>
      <c r="AI41" s="959">
        <v>93018.468478352952</v>
      </c>
      <c r="AJ41" s="959">
        <v>92992.897133350387</v>
      </c>
      <c r="AK41" s="959">
        <v>98517.423206119653</v>
      </c>
      <c r="AL41" s="959">
        <v>95751.532729717917</v>
      </c>
      <c r="AM41" s="959">
        <v>95567.328526518555</v>
      </c>
      <c r="AN41" s="959">
        <v>93160.481738600414</v>
      </c>
      <c r="AO41" s="959">
        <v>97531.617155323213</v>
      </c>
      <c r="AP41" s="943">
        <v>1138789.6574966223</v>
      </c>
      <c r="AQ41" s="944">
        <v>163765.35255335434</v>
      </c>
      <c r="AR41" s="959">
        <v>158839.06996727272</v>
      </c>
      <c r="AS41" s="959">
        <v>169316.01624978063</v>
      </c>
      <c r="AT41" s="959">
        <v>159267.79148480509</v>
      </c>
      <c r="AU41" s="959">
        <v>164341.2114054721</v>
      </c>
      <c r="AV41" s="959">
        <v>159897.15440282421</v>
      </c>
      <c r="AW41" s="959">
        <v>159865.81691900251</v>
      </c>
      <c r="AX41" s="959">
        <v>170196.52427965958</v>
      </c>
      <c r="AY41" s="959">
        <v>165025.47037104727</v>
      </c>
      <c r="AZ41" s="959">
        <v>164805.48534143533</v>
      </c>
      <c r="BA41" s="959">
        <v>160061.52717066585</v>
      </c>
      <c r="BB41" s="959">
        <v>169020.75137008756</v>
      </c>
      <c r="BC41" s="932">
        <v>1964402.1715154063</v>
      </c>
      <c r="BD41" s="944">
        <v>233515.52542302071</v>
      </c>
      <c r="BE41" s="959">
        <v>226418.36912558516</v>
      </c>
      <c r="BF41" s="959">
        <v>241479.22726845194</v>
      </c>
      <c r="BG41" s="959">
        <v>227013.33807957216</v>
      </c>
      <c r="BH41" s="959">
        <v>234313.33268369609</v>
      </c>
      <c r="BI41" s="959">
        <v>227887.10799219177</v>
      </c>
      <c r="BJ41" s="959">
        <v>227842.35576851125</v>
      </c>
      <c r="BK41" s="959">
        <v>242698.77430860774</v>
      </c>
      <c r="BL41" s="959">
        <v>235260.88235114838</v>
      </c>
      <c r="BM41" s="959">
        <v>234953.80219414516</v>
      </c>
      <c r="BN41" s="959">
        <v>228109.96683984643</v>
      </c>
      <c r="BO41" s="959">
        <v>241059.41559031743</v>
      </c>
      <c r="BP41" s="943">
        <v>2800552.0976250926</v>
      </c>
    </row>
    <row r="42" spans="2:68">
      <c r="B42" s="303" t="s">
        <v>1166</v>
      </c>
      <c r="C42" s="279"/>
      <c r="D42" s="961">
        <v>-20401.141582006007</v>
      </c>
      <c r="E42" s="961">
        <v>-20401.141582006007</v>
      </c>
      <c r="F42" s="961">
        <v>-45503.104113887719</v>
      </c>
      <c r="G42" s="961">
        <v>-41460.120313775231</v>
      </c>
      <c r="H42" s="961">
        <v>-40152.930122212783</v>
      </c>
      <c r="I42" s="961">
        <v>-36721.801349385074</v>
      </c>
      <c r="J42" s="961">
        <v>-32060.753134073871</v>
      </c>
      <c r="K42" s="961">
        <v>-28281.206780446533</v>
      </c>
      <c r="L42" s="961">
        <v>-19463.716794719665</v>
      </c>
      <c r="M42" s="961">
        <v>-14679.416207834569</v>
      </c>
      <c r="N42" s="961">
        <v>-12229.754377616642</v>
      </c>
      <c r="O42" s="962">
        <v>-9987.9829654615023</v>
      </c>
      <c r="P42" s="943">
        <v>-321343.06932342565</v>
      </c>
      <c r="Q42" s="971">
        <v>-38856.247986304617</v>
      </c>
      <c r="R42" s="963">
        <v>-20974.17773413282</v>
      </c>
      <c r="S42" s="963">
        <v>-7769.7014527185675</v>
      </c>
      <c r="T42" s="963">
        <v>3424.1132511159813</v>
      </c>
      <c r="U42" s="963">
        <v>5292.1124191987619</v>
      </c>
      <c r="V42" s="963">
        <v>6841.7829824557994</v>
      </c>
      <c r="W42" s="963">
        <v>10421.259828808834</v>
      </c>
      <c r="X42" s="963">
        <v>9607.098692204876</v>
      </c>
      <c r="Y42" s="963">
        <v>16919.161162042408</v>
      </c>
      <c r="Z42" s="963">
        <v>19501.629565401454</v>
      </c>
      <c r="AA42" s="963">
        <v>17198.720213192661</v>
      </c>
      <c r="AB42" s="962">
        <v>12318.524783458779</v>
      </c>
      <c r="AC42" s="943">
        <v>33924.275724724284</v>
      </c>
      <c r="AD42" s="945">
        <v>-6737.545665994403</v>
      </c>
      <c r="AE42" s="962">
        <v>7965.1459906969976</v>
      </c>
      <c r="AF42" s="962">
        <v>23154.652272924417</v>
      </c>
      <c r="AG42" s="962">
        <v>39073.656954721679</v>
      </c>
      <c r="AH42" s="962">
        <v>43614.571977032581</v>
      </c>
      <c r="AI42" s="962">
        <v>44860.203265202275</v>
      </c>
      <c r="AJ42" s="962">
        <v>55488.98888993646</v>
      </c>
      <c r="AK42" s="962">
        <v>57448.089244604314</v>
      </c>
      <c r="AL42" s="962">
        <v>68001.205238245326</v>
      </c>
      <c r="AM42" s="962">
        <v>72262.186849747828</v>
      </c>
      <c r="AN42" s="962">
        <v>66763.074564691167</v>
      </c>
      <c r="AO42" s="962">
        <v>61666.853844665689</v>
      </c>
      <c r="AP42" s="943">
        <v>533561.08342647459</v>
      </c>
      <c r="AQ42" s="945">
        <v>-16377.043496319646</v>
      </c>
      <c r="AR42" s="962">
        <v>-2407.4493544586585</v>
      </c>
      <c r="AS42" s="962">
        <v>10745.707949040749</v>
      </c>
      <c r="AT42" s="962">
        <v>36585.829146043921</v>
      </c>
      <c r="AU42" s="962">
        <v>42230.44716368537</v>
      </c>
      <c r="AV42" s="962">
        <v>45279.079037249641</v>
      </c>
      <c r="AW42" s="962">
        <v>61044.489471550332</v>
      </c>
      <c r="AX42" s="962">
        <v>61803.615927782957</v>
      </c>
      <c r="AY42" s="962">
        <v>78509.524800020794</v>
      </c>
      <c r="AZ42" s="962">
        <v>84746.150152122282</v>
      </c>
      <c r="BA42" s="962">
        <v>77688.830845914606</v>
      </c>
      <c r="BB42" s="962">
        <v>67605.722615587059</v>
      </c>
      <c r="BC42" s="943">
        <v>547454.90425822022</v>
      </c>
      <c r="BD42" s="945">
        <v>-14482.096699669521</v>
      </c>
      <c r="BE42" s="962">
        <v>-2362.8968276644591</v>
      </c>
      <c r="BF42" s="962">
        <v>9289.9028451018094</v>
      </c>
      <c r="BG42" s="962">
        <v>45696.603464525921</v>
      </c>
      <c r="BH42" s="962">
        <v>53270.832710076327</v>
      </c>
      <c r="BI42" s="962">
        <v>57701.427487920708</v>
      </c>
      <c r="BJ42" s="962">
        <v>79590.42752709199</v>
      </c>
      <c r="BK42" s="962">
        <v>80111.320812610327</v>
      </c>
      <c r="BL42" s="962">
        <v>103537.40126999616</v>
      </c>
      <c r="BM42" s="962">
        <v>112155.91128769179</v>
      </c>
      <c r="BN42" s="962">
        <v>102527.17848566236</v>
      </c>
      <c r="BO42" s="962">
        <v>87956.576657878904</v>
      </c>
      <c r="BP42" s="943">
        <v>714992.5890212236</v>
      </c>
    </row>
    <row r="43" spans="2:68" ht="15" thickBot="1">
      <c r="B43" s="325" t="s">
        <v>1167</v>
      </c>
      <c r="C43" s="280"/>
      <c r="D43" s="936">
        <v>-20401.141582006007</v>
      </c>
      <c r="E43" s="919">
        <v>-40802.283164012013</v>
      </c>
      <c r="F43" s="919">
        <v>-86305.387277899732</v>
      </c>
      <c r="G43" s="919">
        <v>-127765.50759167496</v>
      </c>
      <c r="H43" s="919">
        <v>-167918.43771388775</v>
      </c>
      <c r="I43" s="919">
        <v>-204640.23906327283</v>
      </c>
      <c r="J43" s="919">
        <v>-236700.9921973467</v>
      </c>
      <c r="K43" s="919">
        <v>-264982.19897779322</v>
      </c>
      <c r="L43" s="919">
        <v>-284445.9157725129</v>
      </c>
      <c r="M43" s="919">
        <v>-299125.33198034746</v>
      </c>
      <c r="N43" s="919">
        <v>-311355.08635796409</v>
      </c>
      <c r="O43" s="940">
        <v>-321343.06932342559</v>
      </c>
      <c r="P43" s="935">
        <v>-321343.06932342565</v>
      </c>
      <c r="Q43" s="972">
        <v>-360199.31730973022</v>
      </c>
      <c r="R43" s="964">
        <v>-381173.49504386302</v>
      </c>
      <c r="S43" s="964">
        <v>-388943.1964965816</v>
      </c>
      <c r="T43" s="964">
        <v>-385519.08324546565</v>
      </c>
      <c r="U43" s="964">
        <v>-380226.97082626692</v>
      </c>
      <c r="V43" s="964">
        <v>-373385.18784381112</v>
      </c>
      <c r="W43" s="964">
        <v>-362963.92801500228</v>
      </c>
      <c r="X43" s="964">
        <v>-353356.82932279742</v>
      </c>
      <c r="Y43" s="964">
        <v>-336437.66816075501</v>
      </c>
      <c r="Z43" s="964">
        <v>-316936.03859535354</v>
      </c>
      <c r="AA43" s="964">
        <v>-299737.31838216085</v>
      </c>
      <c r="AB43" s="940">
        <v>-287418.79359870206</v>
      </c>
      <c r="AC43" s="935">
        <v>-287418.79359870136</v>
      </c>
      <c r="AD43" s="951">
        <v>-294156.33926469577</v>
      </c>
      <c r="AE43" s="940">
        <v>-286191.1932739988</v>
      </c>
      <c r="AF43" s="940">
        <v>-263036.54100107437</v>
      </c>
      <c r="AG43" s="940">
        <v>-223962.8840463527</v>
      </c>
      <c r="AH43" s="940">
        <v>-180348.31206932012</v>
      </c>
      <c r="AI43" s="940">
        <v>-135488.10880411783</v>
      </c>
      <c r="AJ43" s="940">
        <v>-79999.11991418137</v>
      </c>
      <c r="AK43" s="940">
        <v>-22551.030669577056</v>
      </c>
      <c r="AL43" s="940">
        <v>45450.17456866827</v>
      </c>
      <c r="AM43" s="940">
        <v>117712.3614184161</v>
      </c>
      <c r="AN43" s="940">
        <v>184475.43598310725</v>
      </c>
      <c r="AO43" s="940">
        <v>246142.28982777294</v>
      </c>
      <c r="AP43" s="935">
        <v>246142.28982777323</v>
      </c>
      <c r="AQ43" s="951">
        <v>229765.24633145359</v>
      </c>
      <c r="AR43" s="940">
        <v>227357.79697699493</v>
      </c>
      <c r="AS43" s="940">
        <v>238103.50492603568</v>
      </c>
      <c r="AT43" s="940">
        <v>274689.33407207963</v>
      </c>
      <c r="AU43" s="940">
        <v>316919.78123576497</v>
      </c>
      <c r="AV43" s="940">
        <v>362198.86027301464</v>
      </c>
      <c r="AW43" s="940">
        <v>423243.34974456497</v>
      </c>
      <c r="AX43" s="940">
        <v>485046.96567234793</v>
      </c>
      <c r="AY43" s="940">
        <v>563556.49047236866</v>
      </c>
      <c r="AZ43" s="940">
        <v>648302.64062449092</v>
      </c>
      <c r="BA43" s="940">
        <v>725991.47147040558</v>
      </c>
      <c r="BB43" s="940">
        <v>793597.19408599264</v>
      </c>
      <c r="BC43" s="935">
        <v>793597.19408599345</v>
      </c>
      <c r="BD43" s="951">
        <v>779115.09738632396</v>
      </c>
      <c r="BE43" s="940">
        <v>776752.2005586595</v>
      </c>
      <c r="BF43" s="940">
        <v>786042.10340376128</v>
      </c>
      <c r="BG43" s="940">
        <v>831738.70686828718</v>
      </c>
      <c r="BH43" s="940">
        <v>885009.53957836353</v>
      </c>
      <c r="BI43" s="940">
        <v>942710.96706628427</v>
      </c>
      <c r="BJ43" s="940">
        <v>1022301.3945933762</v>
      </c>
      <c r="BK43" s="940">
        <v>1102412.7154059866</v>
      </c>
      <c r="BL43" s="940">
        <v>1205950.1166759827</v>
      </c>
      <c r="BM43" s="940">
        <v>1318106.0279636746</v>
      </c>
      <c r="BN43" s="940">
        <v>1420633.2064493371</v>
      </c>
      <c r="BO43" s="940">
        <v>1508589.783107216</v>
      </c>
      <c r="BP43" s="935">
        <v>1508589.7831072169</v>
      </c>
    </row>
    <row r="44" spans="2:68" ht="15" thickBot="1"/>
    <row r="45" spans="2:68" ht="15" thickBot="1">
      <c r="B45" s="484" t="s">
        <v>1168</v>
      </c>
      <c r="C45" s="336">
        <v>-388943.1964965816</v>
      </c>
    </row>
    <row r="46" spans="2:68" ht="15" thickBot="1"/>
    <row r="47" spans="2:68">
      <c r="B47" s="485" t="s">
        <v>1169</v>
      </c>
      <c r="C47" s="524" t="s">
        <v>1170</v>
      </c>
    </row>
    <row r="48" spans="2:68">
      <c r="B48" s="332" t="s">
        <v>1171</v>
      </c>
      <c r="C48" s="333">
        <v>-622771.1892646614</v>
      </c>
    </row>
    <row r="49" spans="2:3">
      <c r="B49" s="332">
        <v>1</v>
      </c>
      <c r="C49" s="333">
        <v>-321343.06932342565</v>
      </c>
    </row>
    <row r="50" spans="2:3">
      <c r="B50" s="332">
        <v>2</v>
      </c>
      <c r="C50" s="333">
        <v>33924.275724724284</v>
      </c>
    </row>
    <row r="51" spans="2:3">
      <c r="B51" s="332">
        <v>3</v>
      </c>
      <c r="C51" s="333">
        <v>533561.08342647459</v>
      </c>
    </row>
    <row r="52" spans="2:3">
      <c r="B52" s="332">
        <v>4</v>
      </c>
      <c r="C52" s="333">
        <v>547454.90425822022</v>
      </c>
    </row>
    <row r="53" spans="2:3" ht="15" thickBot="1">
      <c r="B53" s="334">
        <v>5</v>
      </c>
      <c r="C53" s="335">
        <v>714992.5890212236</v>
      </c>
    </row>
    <row r="54" spans="2:3" ht="15" thickBot="1">
      <c r="B54" s="493"/>
      <c r="C54" s="494"/>
    </row>
    <row r="55" spans="2:3">
      <c r="B55" s="485" t="s">
        <v>1172</v>
      </c>
      <c r="C55" s="1260">
        <v>0.125</v>
      </c>
    </row>
    <row r="56" spans="2:3">
      <c r="B56" s="483" t="s">
        <v>1173</v>
      </c>
      <c r="C56" s="981">
        <v>231675.38874766754</v>
      </c>
    </row>
    <row r="57" spans="2:3" ht="15" thickBot="1">
      <c r="B57" s="486" t="s">
        <v>1174</v>
      </c>
      <c r="C57" s="982">
        <v>0.19743596219796555</v>
      </c>
    </row>
  </sheetData>
  <mergeCells count="14">
    <mergeCell ref="B36:B39"/>
    <mergeCell ref="B30:B35"/>
    <mergeCell ref="B17:B22"/>
    <mergeCell ref="B24:B29"/>
    <mergeCell ref="B4:B6"/>
    <mergeCell ref="BR4:BX5"/>
    <mergeCell ref="D4:BP5"/>
    <mergeCell ref="D6:P6"/>
    <mergeCell ref="BR22:BX22"/>
    <mergeCell ref="B15:B16"/>
    <mergeCell ref="Q6:AC6"/>
    <mergeCell ref="AD6:AP6"/>
    <mergeCell ref="AQ6:BC6"/>
    <mergeCell ref="BD6:BP6"/>
  </mergeCells>
  <hyperlinks>
    <hyperlink ref="C2" location="Indice!A1" display="INDICE" xr:uid="{00000000-0004-0000-2400-000000000000}"/>
  </hyperlinks>
  <pageMargins left="0.7" right="0.7" top="0.75" bottom="0.75" header="0.3" footer="0.3"/>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92D050"/>
  </sheetPr>
  <dimension ref="B2:E10"/>
  <sheetViews>
    <sheetView showGridLines="0" workbookViewId="0">
      <selection activeCell="L16" sqref="L16"/>
    </sheetView>
  </sheetViews>
  <sheetFormatPr defaultColWidth="11.42578125" defaultRowHeight="14.45"/>
  <cols>
    <col min="1" max="1" width="7.7109375" customWidth="1"/>
    <col min="2" max="2" width="25.85546875" bestFit="1" customWidth="1"/>
    <col min="3" max="3" width="19.140625" customWidth="1"/>
    <col min="4" max="4" width="16.42578125" bestFit="1" customWidth="1"/>
  </cols>
  <sheetData>
    <row r="2" spans="2:5">
      <c r="B2" t="s">
        <v>48</v>
      </c>
      <c r="C2" s="337" t="s">
        <v>49</v>
      </c>
    </row>
    <row r="3" spans="2:5" ht="15" thickBot="1"/>
    <row r="4" spans="2:5" ht="15" thickBot="1">
      <c r="B4" s="1679" t="s">
        <v>1320</v>
      </c>
      <c r="C4" s="1436"/>
      <c r="D4" s="1436"/>
      <c r="E4" s="1437"/>
    </row>
    <row r="5" spans="2:5">
      <c r="B5" s="1356" t="s">
        <v>1321</v>
      </c>
      <c r="C5" s="1357" t="s">
        <v>1322</v>
      </c>
      <c r="D5" s="1357" t="s">
        <v>1173</v>
      </c>
      <c r="E5" s="554" t="s">
        <v>1174</v>
      </c>
    </row>
    <row r="6" spans="2:5">
      <c r="B6" s="51" t="s">
        <v>1323</v>
      </c>
      <c r="C6" s="120">
        <v>0.2</v>
      </c>
      <c r="D6" s="212">
        <f>'7.1- Escenario Optimista'!C57</f>
        <v>1009132.8500586097</v>
      </c>
      <c r="E6" s="551">
        <f>'7.1- Escenario Optimista'!C58</f>
        <v>0.48769225298179153</v>
      </c>
    </row>
    <row r="7" spans="2:5">
      <c r="B7" s="51" t="s">
        <v>1324</v>
      </c>
      <c r="C7" s="120">
        <v>0.2</v>
      </c>
      <c r="D7" s="212">
        <f>'7.2 - Escenario Optimista Corre'!C56</f>
        <v>967610.01954120514</v>
      </c>
      <c r="E7" s="551">
        <f>'7.2 - Escenario Optimista Corre'!C57</f>
        <v>0.3285779761384513</v>
      </c>
    </row>
    <row r="8" spans="2:5">
      <c r="B8" s="51" t="s">
        <v>1325</v>
      </c>
      <c r="C8" s="120">
        <v>-0.2</v>
      </c>
      <c r="D8" s="212">
        <f>'7.3 - Escenario Pesimista'!C56</f>
        <v>-449496.53031181073</v>
      </c>
      <c r="E8" s="551">
        <f>'7.3 - Escenario Pesimista'!C57</f>
        <v>-2.6735637228147091E-2</v>
      </c>
    </row>
    <row r="9" spans="2:5">
      <c r="B9" s="51" t="s">
        <v>1326</v>
      </c>
      <c r="C9" s="120">
        <v>-0.2</v>
      </c>
      <c r="D9" s="212">
        <f>'7.4 - Escenario Pesimista Corre'!C56</f>
        <v>231675.38874766754</v>
      </c>
      <c r="E9" s="551">
        <f>'7.4 - Escenario Pesimista Corre'!C57</f>
        <v>0.19743596219796555</v>
      </c>
    </row>
    <row r="10" spans="2:5" ht="15" thickBot="1">
      <c r="B10" s="32" t="s">
        <v>1327</v>
      </c>
      <c r="C10" s="552">
        <v>0</v>
      </c>
      <c r="D10" s="215">
        <f>'4.1 - Cash Flow '!$C$56</f>
        <v>809172.14196810429</v>
      </c>
      <c r="E10" s="553">
        <f>'4.1 - Cash Flow '!$C$57</f>
        <v>0.3563779220601837</v>
      </c>
    </row>
  </sheetData>
  <mergeCells count="1">
    <mergeCell ref="B4:E4"/>
  </mergeCells>
  <hyperlinks>
    <hyperlink ref="C2" location="Indice!A1" display="INDICE" xr:uid="{00000000-0004-0000-2500-000000000000}"/>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2:L177"/>
  <sheetViews>
    <sheetView showGridLines="0" topLeftCell="A60" zoomScale="70" zoomScaleNormal="70" workbookViewId="0">
      <selection activeCell="M42" sqref="M42"/>
    </sheetView>
  </sheetViews>
  <sheetFormatPr defaultColWidth="11.5703125" defaultRowHeight="14.45"/>
  <cols>
    <col min="1" max="1" width="5.7109375" customWidth="1"/>
    <col min="3" max="3" width="11.28515625" customWidth="1"/>
    <col min="5" max="5" width="15.7109375" customWidth="1"/>
    <col min="9" max="9" width="16.85546875" bestFit="1" customWidth="1"/>
    <col min="12" max="12" width="9.28515625" customWidth="1"/>
  </cols>
  <sheetData>
    <row r="2" spans="2:9">
      <c r="B2" s="1384" t="s">
        <v>48</v>
      </c>
      <c r="C2" s="1384"/>
      <c r="D2" s="337" t="s">
        <v>49</v>
      </c>
    </row>
    <row r="3" spans="2:9" ht="15" thickBot="1"/>
    <row r="4" spans="2:9" ht="32.65" customHeight="1" thickBot="1">
      <c r="B4" s="1391" t="s">
        <v>80</v>
      </c>
      <c r="C4" s="1392"/>
      <c r="D4" s="1392"/>
      <c r="E4" s="1392"/>
      <c r="F4" s="1392"/>
      <c r="G4" s="1392"/>
      <c r="H4" s="1392"/>
      <c r="I4" s="1393"/>
    </row>
    <row r="5" spans="2:9" ht="43.15">
      <c r="B5" s="85" t="s">
        <v>50</v>
      </c>
      <c r="C5" s="86" t="s">
        <v>51</v>
      </c>
      <c r="D5" s="86" t="s">
        <v>70</v>
      </c>
      <c r="E5" s="94" t="s">
        <v>71</v>
      </c>
      <c r="F5" s="86" t="s">
        <v>72</v>
      </c>
      <c r="G5" s="86" t="s">
        <v>73</v>
      </c>
      <c r="H5" s="86" t="s">
        <v>74</v>
      </c>
      <c r="I5" s="95" t="s">
        <v>75</v>
      </c>
    </row>
    <row r="6" spans="2:9">
      <c r="B6" s="1387">
        <v>2021</v>
      </c>
      <c r="C6" s="1" t="s">
        <v>53</v>
      </c>
      <c r="D6" s="8">
        <v>1</v>
      </c>
      <c r="E6" s="6">
        <v>187.86113910341791</v>
      </c>
      <c r="F6" s="14">
        <f t="shared" ref="F6:F17" si="0">(E6+E18+E30)/3/$E$42</f>
        <v>0.84584638792864386</v>
      </c>
      <c r="G6" s="3">
        <f>E6/F6</f>
        <v>222.09841146625078</v>
      </c>
      <c r="H6" s="1360">
        <f>POWER(D6,2)</f>
        <v>1</v>
      </c>
      <c r="I6" s="28">
        <f>D6*G6</f>
        <v>222.09841146625078</v>
      </c>
    </row>
    <row r="7" spans="2:9">
      <c r="B7" s="1387"/>
      <c r="C7" s="1" t="s">
        <v>54</v>
      </c>
      <c r="D7" s="8">
        <f>D6+1</f>
        <v>2</v>
      </c>
      <c r="E7" s="6">
        <v>157.27674374050594</v>
      </c>
      <c r="F7" s="14">
        <f t="shared" si="0"/>
        <v>0.84074855082553424</v>
      </c>
      <c r="G7" s="3">
        <f t="shared" ref="G7:G40" si="1">E7/F7</f>
        <v>187.06751690035659</v>
      </c>
      <c r="H7" s="1360">
        <f t="shared" ref="H7:H40" si="2">POWER(D7,2)</f>
        <v>4</v>
      </c>
      <c r="I7" s="28">
        <f t="shared" ref="I7:I41" si="3">D7*G7</f>
        <v>374.13503380071319</v>
      </c>
    </row>
    <row r="8" spans="2:9">
      <c r="B8" s="1387"/>
      <c r="C8" s="1" t="s">
        <v>55</v>
      </c>
      <c r="D8" s="8">
        <f t="shared" ref="D8:D41" si="4">D7+1</f>
        <v>3</v>
      </c>
      <c r="E8" s="6">
        <v>195.29330229506564</v>
      </c>
      <c r="F8" s="14">
        <f t="shared" si="0"/>
        <v>0.98611887278770483</v>
      </c>
      <c r="G8" s="3">
        <f t="shared" si="1"/>
        <v>198.04235339597753</v>
      </c>
      <c r="H8" s="1360">
        <f t="shared" si="2"/>
        <v>9</v>
      </c>
      <c r="I8" s="28">
        <f t="shared" si="3"/>
        <v>594.12706018793256</v>
      </c>
    </row>
    <row r="9" spans="2:9">
      <c r="B9" s="1387"/>
      <c r="C9" s="1" t="s">
        <v>56</v>
      </c>
      <c r="D9" s="8">
        <f t="shared" si="4"/>
        <v>4</v>
      </c>
      <c r="E9" s="6">
        <v>180.63478055025328</v>
      </c>
      <c r="F9" s="14">
        <f t="shared" si="0"/>
        <v>0.93345088674383747</v>
      </c>
      <c r="G9" s="3">
        <f t="shared" si="1"/>
        <v>193.51289191053502</v>
      </c>
      <c r="H9" s="1360">
        <f t="shared" si="2"/>
        <v>16</v>
      </c>
      <c r="I9" s="28">
        <f t="shared" si="3"/>
        <v>774.05156764214007</v>
      </c>
    </row>
    <row r="10" spans="2:9">
      <c r="B10" s="1387"/>
      <c r="C10" s="1" t="s">
        <v>57</v>
      </c>
      <c r="D10" s="8">
        <f t="shared" si="4"/>
        <v>5</v>
      </c>
      <c r="E10" s="6">
        <v>153.38516063522263</v>
      </c>
      <c r="F10" s="14">
        <f t="shared" si="0"/>
        <v>0.96541221495213758</v>
      </c>
      <c r="G10" s="3">
        <f t="shared" si="1"/>
        <v>158.88048468790819</v>
      </c>
      <c r="H10" s="1360">
        <f t="shared" si="2"/>
        <v>25</v>
      </c>
      <c r="I10" s="28">
        <f t="shared" si="3"/>
        <v>794.40242343954094</v>
      </c>
    </row>
    <row r="11" spans="2:9">
      <c r="B11" s="1387"/>
      <c r="C11" s="1" t="s">
        <v>58</v>
      </c>
      <c r="D11" s="8">
        <f t="shared" si="4"/>
        <v>6</v>
      </c>
      <c r="E11" s="6">
        <v>195.74340740369055</v>
      </c>
      <c r="F11" s="14">
        <f t="shared" si="0"/>
        <v>1.070838207307617</v>
      </c>
      <c r="G11" s="3">
        <f t="shared" si="1"/>
        <v>182.79456790754929</v>
      </c>
      <c r="H11" s="1360">
        <f t="shared" si="2"/>
        <v>36</v>
      </c>
      <c r="I11" s="28">
        <f t="shared" si="3"/>
        <v>1096.7674074452957</v>
      </c>
    </row>
    <row r="12" spans="2:9">
      <c r="B12" s="1387"/>
      <c r="C12" s="1" t="s">
        <v>59</v>
      </c>
      <c r="D12" s="8">
        <f t="shared" si="4"/>
        <v>7</v>
      </c>
      <c r="E12" s="6">
        <v>202.48461977069479</v>
      </c>
      <c r="F12" s="14">
        <f t="shared" si="0"/>
        <v>1.0594475549108522</v>
      </c>
      <c r="G12" s="3">
        <f t="shared" si="1"/>
        <v>191.12283456799614</v>
      </c>
      <c r="H12" s="1360">
        <f t="shared" si="2"/>
        <v>49</v>
      </c>
      <c r="I12" s="28">
        <f t="shared" si="3"/>
        <v>1337.859841975973</v>
      </c>
    </row>
    <row r="13" spans="2:9">
      <c r="B13" s="1387"/>
      <c r="C13" s="1" t="s">
        <v>60</v>
      </c>
      <c r="D13" s="8">
        <f t="shared" si="4"/>
        <v>8</v>
      </c>
      <c r="E13" s="6">
        <v>230.01604891491931</v>
      </c>
      <c r="F13" s="14">
        <f t="shared" si="0"/>
        <v>1.1677414995744004</v>
      </c>
      <c r="G13" s="3">
        <f t="shared" si="1"/>
        <v>196.97514304214747</v>
      </c>
      <c r="H13" s="1360">
        <f t="shared" si="2"/>
        <v>64</v>
      </c>
      <c r="I13" s="28">
        <f t="shared" si="3"/>
        <v>1575.8011443371797</v>
      </c>
    </row>
    <row r="14" spans="2:9">
      <c r="B14" s="1387"/>
      <c r="C14" s="1" t="s">
        <v>61</v>
      </c>
      <c r="D14" s="8">
        <f t="shared" si="4"/>
        <v>9</v>
      </c>
      <c r="E14" s="6">
        <v>214.7810767678329</v>
      </c>
      <c r="F14" s="14">
        <f t="shared" si="0"/>
        <v>1.1058867431855681</v>
      </c>
      <c r="G14" s="3">
        <f t="shared" si="1"/>
        <v>194.21616010075687</v>
      </c>
      <c r="H14" s="1360">
        <f t="shared" si="2"/>
        <v>81</v>
      </c>
      <c r="I14" s="28">
        <f t="shared" si="3"/>
        <v>1747.9454409068119</v>
      </c>
    </row>
    <row r="15" spans="2:9">
      <c r="B15" s="1387"/>
      <c r="C15" s="1" t="s">
        <v>62</v>
      </c>
      <c r="D15" s="8">
        <f t="shared" si="4"/>
        <v>10</v>
      </c>
      <c r="E15" s="6">
        <v>228.12432426430601</v>
      </c>
      <c r="F15" s="14">
        <f t="shared" si="0"/>
        <v>1.051776964200271</v>
      </c>
      <c r="G15" s="3">
        <f t="shared" si="1"/>
        <v>216.89420098467605</v>
      </c>
      <c r="H15" s="1360">
        <f t="shared" si="2"/>
        <v>100</v>
      </c>
      <c r="I15" s="28">
        <f t="shared" si="3"/>
        <v>2168.9420098467604</v>
      </c>
    </row>
    <row r="16" spans="2:9">
      <c r="B16" s="1387"/>
      <c r="C16" s="1" t="s">
        <v>63</v>
      </c>
      <c r="D16" s="8">
        <f t="shared" si="4"/>
        <v>11</v>
      </c>
      <c r="E16" s="6">
        <v>228.01623981387965</v>
      </c>
      <c r="F16" s="14">
        <f t="shared" si="0"/>
        <v>1.0871835927477735</v>
      </c>
      <c r="G16" s="3">
        <f t="shared" si="1"/>
        <v>209.73112667896874</v>
      </c>
      <c r="H16" s="1360">
        <f t="shared" si="2"/>
        <v>121</v>
      </c>
      <c r="I16" s="28">
        <f t="shared" si="3"/>
        <v>2307.042393468656</v>
      </c>
    </row>
    <row r="17" spans="2:9" ht="15" thickBot="1">
      <c r="B17" s="1388"/>
      <c r="C17" s="2" t="s">
        <v>64</v>
      </c>
      <c r="D17" s="10">
        <f t="shared" si="4"/>
        <v>12</v>
      </c>
      <c r="E17" s="7">
        <v>212.76596804139044</v>
      </c>
      <c r="F17" s="16">
        <f t="shared" si="0"/>
        <v>0.88554852483566016</v>
      </c>
      <c r="G17" s="24">
        <f t="shared" si="1"/>
        <v>240.26460670901741</v>
      </c>
      <c r="H17" s="1367">
        <f t="shared" si="2"/>
        <v>144</v>
      </c>
      <c r="I17" s="29">
        <f t="shared" si="3"/>
        <v>2883.1752805082087</v>
      </c>
    </row>
    <row r="18" spans="2:9">
      <c r="B18" s="1386">
        <v>2022</v>
      </c>
      <c r="C18" s="11" t="s">
        <v>53</v>
      </c>
      <c r="D18" s="12">
        <f t="shared" si="4"/>
        <v>13</v>
      </c>
      <c r="E18" s="13">
        <v>160.55057576003949</v>
      </c>
      <c r="F18" s="20">
        <f>F6</f>
        <v>0.84584638792864386</v>
      </c>
      <c r="G18" s="25">
        <f t="shared" si="1"/>
        <v>189.81055904631191</v>
      </c>
      <c r="H18" s="1358">
        <f t="shared" si="2"/>
        <v>169</v>
      </c>
      <c r="I18" s="30">
        <f t="shared" si="3"/>
        <v>2467.5372676020547</v>
      </c>
    </row>
    <row r="19" spans="2:9">
      <c r="B19" s="1387"/>
      <c r="C19" s="1" t="s">
        <v>54</v>
      </c>
      <c r="D19" s="8">
        <f t="shared" si="4"/>
        <v>14</v>
      </c>
      <c r="E19" s="6">
        <v>191.53732433862288</v>
      </c>
      <c r="F19" s="14">
        <f t="shared" ref="F19:F41" si="5">F7</f>
        <v>0.84074855082553424</v>
      </c>
      <c r="G19" s="3">
        <f t="shared" si="1"/>
        <v>227.81760866617213</v>
      </c>
      <c r="H19" s="1360">
        <f t="shared" si="2"/>
        <v>196</v>
      </c>
      <c r="I19" s="28">
        <f t="shared" si="3"/>
        <v>3189.4465213264098</v>
      </c>
    </row>
    <row r="20" spans="2:9">
      <c r="B20" s="1387"/>
      <c r="C20" s="1" t="s">
        <v>55</v>
      </c>
      <c r="D20" s="8">
        <f t="shared" si="4"/>
        <v>15</v>
      </c>
      <c r="E20" s="6">
        <v>203.72374673277443</v>
      </c>
      <c r="F20" s="14">
        <f t="shared" si="5"/>
        <v>0.98611887278770483</v>
      </c>
      <c r="G20" s="3">
        <f t="shared" si="1"/>
        <v>206.59146919768241</v>
      </c>
      <c r="H20" s="1360">
        <f t="shared" si="2"/>
        <v>225</v>
      </c>
      <c r="I20" s="28">
        <f t="shared" si="3"/>
        <v>3098.8720379652364</v>
      </c>
    </row>
    <row r="21" spans="2:9">
      <c r="B21" s="1387"/>
      <c r="C21" s="1" t="s">
        <v>56</v>
      </c>
      <c r="D21" s="8">
        <f t="shared" si="4"/>
        <v>16</v>
      </c>
      <c r="E21" s="6">
        <v>205.80047425151329</v>
      </c>
      <c r="F21" s="14">
        <f t="shared" si="5"/>
        <v>0.93345088674383747</v>
      </c>
      <c r="G21" s="3">
        <f t="shared" si="1"/>
        <v>220.47273956684359</v>
      </c>
      <c r="H21" s="1360">
        <f t="shared" si="2"/>
        <v>256</v>
      </c>
      <c r="I21" s="28">
        <f t="shared" si="3"/>
        <v>3527.5638330694974</v>
      </c>
    </row>
    <row r="22" spans="2:9">
      <c r="B22" s="1387"/>
      <c r="C22" s="1" t="s">
        <v>57</v>
      </c>
      <c r="D22" s="8">
        <f t="shared" si="4"/>
        <v>17</v>
      </c>
      <c r="E22" s="6">
        <v>236.95692631550281</v>
      </c>
      <c r="F22" s="14">
        <f t="shared" si="5"/>
        <v>0.96541221495213758</v>
      </c>
      <c r="G22" s="3">
        <f t="shared" si="1"/>
        <v>245.44637269505697</v>
      </c>
      <c r="H22" s="1360">
        <f t="shared" si="2"/>
        <v>289</v>
      </c>
      <c r="I22" s="28">
        <f t="shared" si="3"/>
        <v>4172.5883358159681</v>
      </c>
    </row>
    <row r="23" spans="2:9">
      <c r="B23" s="1387"/>
      <c r="C23" s="1" t="s">
        <v>58</v>
      </c>
      <c r="D23" s="8">
        <f t="shared" si="4"/>
        <v>18</v>
      </c>
      <c r="E23" s="6">
        <v>243.75966929577527</v>
      </c>
      <c r="F23" s="14">
        <f t="shared" si="5"/>
        <v>1.070838207307617</v>
      </c>
      <c r="G23" s="3">
        <f t="shared" si="1"/>
        <v>227.63445274207612</v>
      </c>
      <c r="H23" s="1360">
        <f t="shared" si="2"/>
        <v>324</v>
      </c>
      <c r="I23" s="28">
        <f t="shared" si="3"/>
        <v>4097.4201493573701</v>
      </c>
    </row>
    <row r="24" spans="2:9">
      <c r="B24" s="1387"/>
      <c r="C24" s="1" t="s">
        <v>59</v>
      </c>
      <c r="D24" s="8">
        <f t="shared" si="4"/>
        <v>19</v>
      </c>
      <c r="E24" s="6">
        <v>239.7431856174384</v>
      </c>
      <c r="F24" s="14">
        <f t="shared" si="5"/>
        <v>1.0594475549108522</v>
      </c>
      <c r="G24" s="3">
        <f t="shared" si="1"/>
        <v>226.29075361603125</v>
      </c>
      <c r="H24" s="1360">
        <f t="shared" si="2"/>
        <v>361</v>
      </c>
      <c r="I24" s="28">
        <f t="shared" si="3"/>
        <v>4299.5243187045935</v>
      </c>
    </row>
    <row r="25" spans="2:9">
      <c r="B25" s="1387"/>
      <c r="C25" s="1" t="s">
        <v>60</v>
      </c>
      <c r="D25" s="8">
        <f t="shared" si="4"/>
        <v>20</v>
      </c>
      <c r="E25" s="6">
        <v>271.46615525140396</v>
      </c>
      <c r="F25" s="14">
        <f t="shared" si="5"/>
        <v>1.1677414995744004</v>
      </c>
      <c r="G25" s="3">
        <f t="shared" si="1"/>
        <v>232.47110370775002</v>
      </c>
      <c r="H25" s="1360">
        <f t="shared" si="2"/>
        <v>400</v>
      </c>
      <c r="I25" s="28">
        <f t="shared" si="3"/>
        <v>4649.4220741550007</v>
      </c>
    </row>
    <row r="26" spans="2:9">
      <c r="B26" s="1387"/>
      <c r="C26" s="1" t="s">
        <v>61</v>
      </c>
      <c r="D26" s="8">
        <f t="shared" si="4"/>
        <v>21</v>
      </c>
      <c r="E26" s="6">
        <v>260.40168943139173</v>
      </c>
      <c r="F26" s="14">
        <f t="shared" si="5"/>
        <v>1.1058867431855681</v>
      </c>
      <c r="G26" s="3">
        <f t="shared" si="1"/>
        <v>235.46867799616643</v>
      </c>
      <c r="H26" s="1360">
        <f t="shared" si="2"/>
        <v>441</v>
      </c>
      <c r="I26" s="28">
        <f t="shared" si="3"/>
        <v>4944.8422379194953</v>
      </c>
    </row>
    <row r="27" spans="2:9">
      <c r="B27" s="1387"/>
      <c r="C27" s="1" t="s">
        <v>62</v>
      </c>
      <c r="D27" s="8">
        <f t="shared" si="4"/>
        <v>22</v>
      </c>
      <c r="E27" s="6">
        <v>235.18637007013768</v>
      </c>
      <c r="F27" s="14">
        <f t="shared" si="5"/>
        <v>1.051776964200271</v>
      </c>
      <c r="G27" s="3">
        <f t="shared" si="1"/>
        <v>223.60859581000994</v>
      </c>
      <c r="H27" s="1360">
        <f t="shared" si="2"/>
        <v>484</v>
      </c>
      <c r="I27" s="28">
        <f t="shared" si="3"/>
        <v>4919.3891078202187</v>
      </c>
    </row>
    <row r="28" spans="2:9">
      <c r="B28" s="1387"/>
      <c r="C28" s="1" t="s">
        <v>63</v>
      </c>
      <c r="D28" s="8">
        <f t="shared" si="4"/>
        <v>23</v>
      </c>
      <c r="E28" s="6">
        <v>256.38218432601496</v>
      </c>
      <c r="F28" s="14">
        <f t="shared" si="5"/>
        <v>1.0871835927477735</v>
      </c>
      <c r="G28" s="3">
        <f t="shared" si="1"/>
        <v>235.82234503560576</v>
      </c>
      <c r="H28" s="1360">
        <f t="shared" si="2"/>
        <v>529</v>
      </c>
      <c r="I28" s="28">
        <f t="shared" si="3"/>
        <v>5423.9139358189323</v>
      </c>
    </row>
    <row r="29" spans="2:9" ht="15" thickBot="1">
      <c r="B29" s="1388"/>
      <c r="C29" s="2" t="s">
        <v>64</v>
      </c>
      <c r="D29" s="10">
        <f t="shared" si="4"/>
        <v>24</v>
      </c>
      <c r="E29" s="7">
        <v>207.79562324017564</v>
      </c>
      <c r="F29" s="16">
        <f t="shared" si="5"/>
        <v>0.88554852483566016</v>
      </c>
      <c r="G29" s="24">
        <f t="shared" si="1"/>
        <v>234.65187667580193</v>
      </c>
      <c r="H29" s="1367">
        <f t="shared" si="2"/>
        <v>576</v>
      </c>
      <c r="I29" s="29">
        <f t="shared" si="3"/>
        <v>5631.6450402192459</v>
      </c>
    </row>
    <row r="30" spans="2:9">
      <c r="B30" s="1400">
        <v>2023</v>
      </c>
      <c r="C30" s="9" t="s">
        <v>53</v>
      </c>
      <c r="D30" s="567">
        <f t="shared" si="4"/>
        <v>25</v>
      </c>
      <c r="E30" s="568">
        <v>205.17760060974291</v>
      </c>
      <c r="F30" s="569">
        <f>F18</f>
        <v>0.84584638792864386</v>
      </c>
      <c r="G30" s="570">
        <f t="shared" si="1"/>
        <v>242.57075934578776</v>
      </c>
      <c r="H30" s="131">
        <f t="shared" si="2"/>
        <v>625</v>
      </c>
      <c r="I30" s="71">
        <f t="shared" si="3"/>
        <v>6064.2689836446943</v>
      </c>
    </row>
    <row r="31" spans="2:9">
      <c r="B31" s="1387"/>
      <c r="C31" s="1" t="s">
        <v>54</v>
      </c>
      <c r="D31" s="8">
        <f t="shared" si="4"/>
        <v>26</v>
      </c>
      <c r="E31" s="6">
        <v>201.43881634396647</v>
      </c>
      <c r="F31" s="14">
        <f t="shared" si="5"/>
        <v>0.84074855082553424</v>
      </c>
      <c r="G31" s="3">
        <f t="shared" si="1"/>
        <v>239.59460429182175</v>
      </c>
      <c r="H31" s="1360">
        <f t="shared" si="2"/>
        <v>676</v>
      </c>
      <c r="I31" s="28">
        <f t="shared" si="3"/>
        <v>6229.4597115873657</v>
      </c>
    </row>
    <row r="32" spans="2:9">
      <c r="B32" s="1387"/>
      <c r="C32" s="1" t="s">
        <v>55</v>
      </c>
      <c r="D32" s="8">
        <f t="shared" si="4"/>
        <v>27</v>
      </c>
      <c r="E32" s="6">
        <v>246.37776444247797</v>
      </c>
      <c r="F32" s="14">
        <f t="shared" si="5"/>
        <v>0.98611887278770483</v>
      </c>
      <c r="G32" s="3">
        <f t="shared" si="1"/>
        <v>249.84590726469045</v>
      </c>
      <c r="H32" s="1360">
        <f t="shared" si="2"/>
        <v>729</v>
      </c>
      <c r="I32" s="28">
        <f t="shared" si="3"/>
        <v>6745.839496146642</v>
      </c>
    </row>
    <row r="33" spans="2:9">
      <c r="B33" s="1387"/>
      <c r="C33" s="1" t="s">
        <v>56</v>
      </c>
      <c r="D33" s="8">
        <f t="shared" si="4"/>
        <v>28</v>
      </c>
      <c r="E33" s="6">
        <v>224.48942939037778</v>
      </c>
      <c r="F33" s="14">
        <f t="shared" si="5"/>
        <v>0.93345088674383747</v>
      </c>
      <c r="G33" s="3">
        <f t="shared" si="1"/>
        <v>240.49409838097176</v>
      </c>
      <c r="H33" s="1360">
        <f t="shared" si="2"/>
        <v>784</v>
      </c>
      <c r="I33" s="28">
        <f t="shared" si="3"/>
        <v>6733.8347546672094</v>
      </c>
    </row>
    <row r="34" spans="2:9">
      <c r="B34" s="1387"/>
      <c r="C34" s="1" t="s">
        <v>57</v>
      </c>
      <c r="D34" s="8">
        <f t="shared" si="4"/>
        <v>29</v>
      </c>
      <c r="E34" s="6">
        <v>241.50063869310134</v>
      </c>
      <c r="F34" s="14">
        <f t="shared" si="5"/>
        <v>0.96541221495213758</v>
      </c>
      <c r="G34" s="3">
        <f t="shared" si="1"/>
        <v>250.15287247538529</v>
      </c>
      <c r="H34" s="1360">
        <f t="shared" si="2"/>
        <v>841</v>
      </c>
      <c r="I34" s="28">
        <f t="shared" si="3"/>
        <v>7254.4333017861736</v>
      </c>
    </row>
    <row r="35" spans="2:9">
      <c r="B35" s="1387"/>
      <c r="C35" s="1" t="s">
        <v>58</v>
      </c>
      <c r="D35" s="8">
        <f t="shared" si="4"/>
        <v>30</v>
      </c>
      <c r="E35" s="6">
        <v>261.33882394122355</v>
      </c>
      <c r="F35" s="14">
        <f t="shared" si="5"/>
        <v>1.070838207307617</v>
      </c>
      <c r="G35" s="3">
        <f t="shared" si="1"/>
        <v>244.05070920872492</v>
      </c>
      <c r="H35" s="1360">
        <f t="shared" si="2"/>
        <v>900</v>
      </c>
      <c r="I35" s="28">
        <f t="shared" si="3"/>
        <v>7321.5212762617475</v>
      </c>
    </row>
    <row r="36" spans="2:9">
      <c r="B36" s="1387"/>
      <c r="C36" s="1" t="s">
        <v>59</v>
      </c>
      <c r="D36" s="8">
        <f t="shared" si="4"/>
        <v>31</v>
      </c>
      <c r="E36" s="6">
        <v>251.15914414901118</v>
      </c>
      <c r="F36" s="14">
        <f t="shared" si="5"/>
        <v>1.0594475549108522</v>
      </c>
      <c r="G36" s="3">
        <f t="shared" si="1"/>
        <v>237.06614167432301</v>
      </c>
      <c r="H36" s="1360">
        <f t="shared" si="2"/>
        <v>961</v>
      </c>
      <c r="I36" s="28">
        <f t="shared" si="3"/>
        <v>7349.0503919040129</v>
      </c>
    </row>
    <row r="37" spans="2:9">
      <c r="B37" s="1387"/>
      <c r="C37" s="1" t="s">
        <v>60</v>
      </c>
      <c r="D37" s="8">
        <f t="shared" si="4"/>
        <v>32</v>
      </c>
      <c r="E37" s="6">
        <v>262.78093701951525</v>
      </c>
      <c r="F37" s="14">
        <f t="shared" si="5"/>
        <v>1.1677414995744004</v>
      </c>
      <c r="G37" s="3">
        <f t="shared" si="1"/>
        <v>225.03348310845286</v>
      </c>
      <c r="H37" s="1360">
        <f t="shared" si="2"/>
        <v>1024</v>
      </c>
      <c r="I37" s="28">
        <f t="shared" si="3"/>
        <v>7201.0714594704914</v>
      </c>
    </row>
    <row r="38" spans="2:9">
      <c r="B38" s="1387"/>
      <c r="C38" s="1" t="s">
        <v>61</v>
      </c>
      <c r="D38" s="8">
        <f t="shared" si="4"/>
        <v>33</v>
      </c>
      <c r="E38" s="6">
        <v>248.59769073479697</v>
      </c>
      <c r="F38" s="14">
        <f t="shared" si="5"/>
        <v>1.1058867431855681</v>
      </c>
      <c r="G38" s="3">
        <f t="shared" si="1"/>
        <v>224.79489176142715</v>
      </c>
      <c r="H38" s="1360">
        <f t="shared" si="2"/>
        <v>1089</v>
      </c>
      <c r="I38" s="28">
        <f t="shared" si="3"/>
        <v>7418.2314281270956</v>
      </c>
    </row>
    <row r="39" spans="2:9">
      <c r="B39" s="1387"/>
      <c r="C39" s="1" t="s">
        <v>62</v>
      </c>
      <c r="D39" s="8">
        <f t="shared" si="4"/>
        <v>34</v>
      </c>
      <c r="E39" s="6">
        <v>225.05600906658546</v>
      </c>
      <c r="F39" s="14">
        <f t="shared" si="5"/>
        <v>1.051776964200271</v>
      </c>
      <c r="G39" s="3">
        <f t="shared" si="1"/>
        <v>213.97693306366432</v>
      </c>
      <c r="H39" s="1360">
        <f t="shared" si="2"/>
        <v>1156</v>
      </c>
      <c r="I39" s="28">
        <f t="shared" si="3"/>
        <v>7275.2157241645873</v>
      </c>
    </row>
    <row r="40" spans="2:9">
      <c r="B40" s="1387"/>
      <c r="C40" s="1" t="s">
        <v>63</v>
      </c>
      <c r="D40" s="8">
        <f t="shared" si="4"/>
        <v>35</v>
      </c>
      <c r="E40" s="6">
        <v>227.14119994809897</v>
      </c>
      <c r="F40" s="14">
        <f t="shared" si="5"/>
        <v>1.0871835927477735</v>
      </c>
      <c r="G40" s="3">
        <f t="shared" si="1"/>
        <v>208.92625814377581</v>
      </c>
      <c r="H40" s="1360">
        <f t="shared" si="2"/>
        <v>1225</v>
      </c>
      <c r="I40" s="28">
        <f t="shared" si="3"/>
        <v>7312.4190350321533</v>
      </c>
    </row>
    <row r="41" spans="2:9" ht="15" thickBot="1">
      <c r="B41" s="1388"/>
      <c r="C41" s="2" t="s">
        <v>64</v>
      </c>
      <c r="D41" s="10">
        <f t="shared" si="4"/>
        <v>36</v>
      </c>
      <c r="E41" s="7">
        <v>159.01196802933751</v>
      </c>
      <c r="F41" s="16">
        <f t="shared" si="5"/>
        <v>0.88554852483566016</v>
      </c>
      <c r="G41" s="24">
        <f>E41/F41</f>
        <v>179.56324647353108</v>
      </c>
      <c r="H41" s="1367">
        <f>POWER(D41,2)</f>
        <v>1296</v>
      </c>
      <c r="I41" s="28">
        <f t="shared" si="3"/>
        <v>6464.2768730471189</v>
      </c>
    </row>
    <row r="42" spans="2:9" ht="15" thickBot="1">
      <c r="D42" s="18">
        <f>AVERAGE(D6:D41)</f>
        <v>18.5</v>
      </c>
      <c r="E42" s="19">
        <f>AVERAGE(E6:E41)</f>
        <v>218.15990995278347</v>
      </c>
      <c r="G42" s="31">
        <f>SUM(G6:G41)</f>
        <v>7853.7567583002046</v>
      </c>
      <c r="H42" s="23">
        <f>SUM(H6:H41)</f>
        <v>16206</v>
      </c>
      <c r="I42" s="31">
        <f>SUM(I6:I41)</f>
        <v>149668.13531063878</v>
      </c>
    </row>
    <row r="43" spans="2:9" ht="15" thickBot="1"/>
    <row r="44" spans="2:9">
      <c r="B44" s="1376" t="s">
        <v>76</v>
      </c>
      <c r="C44" s="33">
        <f>(I42-D41*D42*E42)/(H42-D41*POWER(D42,2))</f>
        <v>1.1257748473835227</v>
      </c>
    </row>
    <row r="45" spans="2:9" ht="15" thickBot="1">
      <c r="B45" s="1337" t="s">
        <v>77</v>
      </c>
      <c r="C45" s="34">
        <f>E42-C44*D42</f>
        <v>197.33307527618831</v>
      </c>
    </row>
    <row r="46" spans="2:9" ht="15" thickBot="1"/>
    <row r="47" spans="2:9" ht="36" customHeight="1" thickBot="1">
      <c r="B47" s="1391" t="s">
        <v>81</v>
      </c>
      <c r="C47" s="1392"/>
      <c r="D47" s="1392"/>
      <c r="E47" s="1392"/>
      <c r="F47" s="1392"/>
      <c r="G47" s="1392"/>
      <c r="H47" s="1392"/>
      <c r="I47" s="1393"/>
    </row>
    <row r="48" spans="2:9" ht="30" customHeight="1" thickBot="1">
      <c r="B48" s="1314" t="s">
        <v>50</v>
      </c>
      <c r="C48" s="1315" t="s">
        <v>51</v>
      </c>
      <c r="D48" s="1315" t="s">
        <v>70</v>
      </c>
      <c r="E48" s="1315" t="s">
        <v>82</v>
      </c>
      <c r="F48" s="1315" t="s">
        <v>72</v>
      </c>
      <c r="G48" s="1315" t="s">
        <v>73</v>
      </c>
      <c r="H48" s="1315" t="s">
        <v>66</v>
      </c>
      <c r="I48" s="96" t="s">
        <v>78</v>
      </c>
    </row>
    <row r="49" spans="2:12">
      <c r="B49" s="1386">
        <v>2024</v>
      </c>
      <c r="C49" s="11" t="s">
        <v>53</v>
      </c>
      <c r="D49" s="12">
        <v>37</v>
      </c>
      <c r="E49" s="25">
        <f>$C$44*D49+$C$45</f>
        <v>238.98674462937865</v>
      </c>
      <c r="F49" s="20">
        <f t="shared" ref="F49:F60" si="6">F6</f>
        <v>0.84584638792864386</v>
      </c>
      <c r="G49" s="25">
        <f>E49*F49</f>
        <v>202.14607470758517</v>
      </c>
      <c r="H49" s="1397">
        <f>AVERAGE(G49:G60)</f>
        <v>245.3929674306959</v>
      </c>
      <c r="I49" s="1394">
        <f>MAX(G49:G60)</f>
        <v>288.27703761118232</v>
      </c>
    </row>
    <row r="50" spans="2:12">
      <c r="B50" s="1387"/>
      <c r="C50" s="1" t="s">
        <v>54</v>
      </c>
      <c r="D50" s="8">
        <f>D49+1</f>
        <v>38</v>
      </c>
      <c r="E50" s="3">
        <f t="shared" ref="E50:E108" si="7">$C$44*D50+$C$45</f>
        <v>240.11251947676217</v>
      </c>
      <c r="F50" s="14">
        <f t="shared" si="6"/>
        <v>0.84074855082553424</v>
      </c>
      <c r="G50" s="3">
        <f t="shared" ref="G50:G108" si="8">E50*F50</f>
        <v>201.87425278515565</v>
      </c>
      <c r="H50" s="1398"/>
      <c r="I50" s="1404"/>
    </row>
    <row r="51" spans="2:12">
      <c r="B51" s="1387"/>
      <c r="C51" s="1" t="s">
        <v>55</v>
      </c>
      <c r="D51" s="8">
        <f t="shared" ref="D51:D108" si="9">D50+1</f>
        <v>39</v>
      </c>
      <c r="E51" s="3">
        <f t="shared" si="7"/>
        <v>241.2382943241457</v>
      </c>
      <c r="F51" s="14">
        <f t="shared" si="6"/>
        <v>0.98611887278770483</v>
      </c>
      <c r="G51" s="3">
        <f>E51*F51</f>
        <v>237.88963487215511</v>
      </c>
      <c r="H51" s="1398"/>
      <c r="I51" s="1404"/>
    </row>
    <row r="52" spans="2:12">
      <c r="B52" s="1387"/>
      <c r="C52" s="1" t="s">
        <v>56</v>
      </c>
      <c r="D52" s="8">
        <f t="shared" si="9"/>
        <v>40</v>
      </c>
      <c r="E52" s="3">
        <f t="shared" si="7"/>
        <v>242.36406917152922</v>
      </c>
      <c r="F52" s="14">
        <f t="shared" si="6"/>
        <v>0.93345088674383747</v>
      </c>
      <c r="G52" s="3">
        <f t="shared" si="8"/>
        <v>226.2349552830087</v>
      </c>
      <c r="H52" s="1398"/>
      <c r="I52" s="1404"/>
    </row>
    <row r="53" spans="2:12">
      <c r="B53" s="1387"/>
      <c r="C53" s="1" t="s">
        <v>57</v>
      </c>
      <c r="D53" s="8">
        <f t="shared" si="9"/>
        <v>41</v>
      </c>
      <c r="E53" s="3">
        <f t="shared" si="7"/>
        <v>243.48984401891275</v>
      </c>
      <c r="F53" s="14">
        <f t="shared" si="6"/>
        <v>0.96541221495213758</v>
      </c>
      <c r="G53" s="3">
        <f t="shared" si="8"/>
        <v>235.06806963264904</v>
      </c>
      <c r="H53" s="1398"/>
      <c r="I53" s="1404"/>
    </row>
    <row r="54" spans="2:12">
      <c r="B54" s="1387"/>
      <c r="C54" s="1" t="s">
        <v>58</v>
      </c>
      <c r="D54" s="8">
        <f t="shared" si="9"/>
        <v>42</v>
      </c>
      <c r="E54" s="3">
        <f t="shared" si="7"/>
        <v>244.61561886629627</v>
      </c>
      <c r="F54" s="14">
        <f t="shared" si="6"/>
        <v>1.070838207307617</v>
      </c>
      <c r="G54" s="3">
        <f t="shared" si="8"/>
        <v>261.94375078622801</v>
      </c>
      <c r="H54" s="1398"/>
      <c r="I54" s="1404"/>
      <c r="L54" t="s">
        <v>83</v>
      </c>
    </row>
    <row r="55" spans="2:12">
      <c r="B55" s="1387"/>
      <c r="C55" s="1" t="s">
        <v>59</v>
      </c>
      <c r="D55" s="8">
        <f t="shared" si="9"/>
        <v>43</v>
      </c>
      <c r="E55" s="3">
        <f t="shared" si="7"/>
        <v>245.7413937136798</v>
      </c>
      <c r="F55" s="14">
        <f t="shared" si="6"/>
        <v>1.0594475549108522</v>
      </c>
      <c r="G55" s="3">
        <f t="shared" si="8"/>
        <v>260.35011871034311</v>
      </c>
      <c r="H55" s="1398"/>
      <c r="I55" s="1404"/>
    </row>
    <row r="56" spans="2:12">
      <c r="B56" s="1387"/>
      <c r="C56" s="1" t="s">
        <v>60</v>
      </c>
      <c r="D56" s="8">
        <f t="shared" si="9"/>
        <v>44</v>
      </c>
      <c r="E56" s="3">
        <f t="shared" si="7"/>
        <v>246.86716856106329</v>
      </c>
      <c r="F56" s="14">
        <f t="shared" si="6"/>
        <v>1.1677414995744004</v>
      </c>
      <c r="G56" s="3">
        <f t="shared" si="8"/>
        <v>288.27703761118232</v>
      </c>
      <c r="H56" s="1398"/>
      <c r="I56" s="1404"/>
    </row>
    <row r="57" spans="2:12">
      <c r="B57" s="1387"/>
      <c r="C57" s="1" t="s">
        <v>61</v>
      </c>
      <c r="D57" s="8">
        <f t="shared" si="9"/>
        <v>45</v>
      </c>
      <c r="E57" s="3">
        <f>$C$44*D57+$C$45</f>
        <v>247.99294340844682</v>
      </c>
      <c r="F57" s="14">
        <f t="shared" si="6"/>
        <v>1.1058867431855681</v>
      </c>
      <c r="G57" s="3">
        <f>E57*F57</f>
        <v>274.25210851897015</v>
      </c>
      <c r="H57" s="1398"/>
      <c r="I57" s="1404"/>
    </row>
    <row r="58" spans="2:12">
      <c r="B58" s="1387"/>
      <c r="C58" s="1" t="s">
        <v>62</v>
      </c>
      <c r="D58" s="8">
        <f t="shared" si="9"/>
        <v>46</v>
      </c>
      <c r="E58" s="3">
        <f t="shared" si="7"/>
        <v>249.11871825583034</v>
      </c>
      <c r="F58" s="14">
        <f t="shared" si="6"/>
        <v>1.051776964200271</v>
      </c>
      <c r="G58" s="3">
        <f t="shared" si="8"/>
        <v>262.01732921257985</v>
      </c>
      <c r="H58" s="1398"/>
      <c r="I58" s="1404"/>
    </row>
    <row r="59" spans="2:12">
      <c r="B59" s="1387"/>
      <c r="C59" s="1" t="s">
        <v>63</v>
      </c>
      <c r="D59" s="8">
        <f t="shared" si="9"/>
        <v>47</v>
      </c>
      <c r="E59" s="3">
        <f t="shared" si="7"/>
        <v>250.24449310321387</v>
      </c>
      <c r="F59" s="14">
        <f t="shared" si="6"/>
        <v>1.0871835927477735</v>
      </c>
      <c r="G59" s="3">
        <f t="shared" si="8"/>
        <v>272.06170707729751</v>
      </c>
      <c r="H59" s="1398"/>
      <c r="I59" s="1404"/>
    </row>
    <row r="60" spans="2:12" ht="15" thickBot="1">
      <c r="B60" s="1388"/>
      <c r="C60" s="2" t="s">
        <v>64</v>
      </c>
      <c r="D60" s="10">
        <f t="shared" si="9"/>
        <v>48</v>
      </c>
      <c r="E60" s="24">
        <f t="shared" si="7"/>
        <v>251.37026795059739</v>
      </c>
      <c r="F60" s="16">
        <f t="shared" si="6"/>
        <v>0.88554852483566016</v>
      </c>
      <c r="G60" s="24">
        <f t="shared" si="8"/>
        <v>222.60056997119614</v>
      </c>
      <c r="H60" s="1399"/>
      <c r="I60" s="1405"/>
    </row>
    <row r="61" spans="2:12">
      <c r="B61" s="1386">
        <v>2025</v>
      </c>
      <c r="C61" s="11" t="s">
        <v>53</v>
      </c>
      <c r="D61" s="12">
        <f t="shared" si="9"/>
        <v>49</v>
      </c>
      <c r="E61" s="25">
        <f t="shared" si="7"/>
        <v>252.49604279798092</v>
      </c>
      <c r="F61" s="20">
        <f t="shared" ref="F61:F72" si="10">F6</f>
        <v>0.84584638792864386</v>
      </c>
      <c r="G61" s="25">
        <f t="shared" si="8"/>
        <v>213.57286576694844</v>
      </c>
      <c r="H61" s="1397">
        <f>AVERAGE(G61:G72)</f>
        <v>258.90226559929812</v>
      </c>
      <c r="I61" s="1394">
        <f>MAX(G61:G72)</f>
        <v>304.0524057127837</v>
      </c>
    </row>
    <row r="62" spans="2:12">
      <c r="B62" s="1387"/>
      <c r="C62" s="1" t="s">
        <v>54</v>
      </c>
      <c r="D62" s="8">
        <f t="shared" si="9"/>
        <v>50</v>
      </c>
      <c r="E62" s="3">
        <f t="shared" si="7"/>
        <v>253.62181764536444</v>
      </c>
      <c r="F62" s="14">
        <f t="shared" si="10"/>
        <v>0.84074855082553424</v>
      </c>
      <c r="G62" s="3">
        <f t="shared" si="8"/>
        <v>213.23217564307805</v>
      </c>
      <c r="H62" s="1398"/>
      <c r="I62" s="1395"/>
    </row>
    <row r="63" spans="2:12">
      <c r="B63" s="1387"/>
      <c r="C63" s="1" t="s">
        <v>55</v>
      </c>
      <c r="D63" s="8">
        <f t="shared" si="9"/>
        <v>51</v>
      </c>
      <c r="E63" s="3">
        <f t="shared" si="7"/>
        <v>254.74759249274797</v>
      </c>
      <c r="F63" s="14">
        <f t="shared" si="10"/>
        <v>0.98611887278770483</v>
      </c>
      <c r="G63" s="3">
        <f t="shared" si="8"/>
        <v>251.21140875433019</v>
      </c>
      <c r="H63" s="1398"/>
      <c r="I63" s="1395"/>
    </row>
    <row r="64" spans="2:12">
      <c r="B64" s="1387"/>
      <c r="C64" s="1" t="s">
        <v>56</v>
      </c>
      <c r="D64" s="8">
        <f t="shared" si="9"/>
        <v>52</v>
      </c>
      <c r="E64" s="3">
        <f t="shared" si="7"/>
        <v>255.87336734013149</v>
      </c>
      <c r="F64" s="14">
        <f t="shared" si="10"/>
        <v>0.93345088674383747</v>
      </c>
      <c r="G64" s="3">
        <f t="shared" si="8"/>
        <v>238.8452216377774</v>
      </c>
      <c r="H64" s="1398"/>
      <c r="I64" s="1395"/>
    </row>
    <row r="65" spans="2:12">
      <c r="B65" s="1387"/>
      <c r="C65" s="1" t="s">
        <v>57</v>
      </c>
      <c r="D65" s="8">
        <f t="shared" si="9"/>
        <v>53</v>
      </c>
      <c r="E65" s="3">
        <f t="shared" si="7"/>
        <v>256.99914218751502</v>
      </c>
      <c r="F65" s="14">
        <f t="shared" si="10"/>
        <v>0.96541221495213758</v>
      </c>
      <c r="G65" s="3">
        <f t="shared" si="8"/>
        <v>248.11011110004821</v>
      </c>
      <c r="H65" s="1398"/>
      <c r="I65" s="1395"/>
    </row>
    <row r="66" spans="2:12">
      <c r="B66" s="1387"/>
      <c r="C66" s="1" t="s">
        <v>58</v>
      </c>
      <c r="D66" s="8">
        <f t="shared" si="9"/>
        <v>54</v>
      </c>
      <c r="E66" s="3">
        <f t="shared" si="7"/>
        <v>258.12491703489854</v>
      </c>
      <c r="F66" s="14">
        <f t="shared" si="10"/>
        <v>1.070838207307617</v>
      </c>
      <c r="G66" s="3">
        <f t="shared" si="8"/>
        <v>276.41002341907813</v>
      </c>
      <c r="H66" s="1398"/>
      <c r="I66" s="1395"/>
    </row>
    <row r="67" spans="2:12">
      <c r="B67" s="1387"/>
      <c r="C67" s="1" t="s">
        <v>59</v>
      </c>
      <c r="D67" s="8">
        <f t="shared" si="9"/>
        <v>55</v>
      </c>
      <c r="E67" s="3">
        <f t="shared" si="7"/>
        <v>259.25069188228207</v>
      </c>
      <c r="F67" s="14">
        <f t="shared" si="10"/>
        <v>1.0594475549108522</v>
      </c>
      <c r="G67" s="3">
        <f t="shared" si="8"/>
        <v>274.66251162363045</v>
      </c>
      <c r="H67" s="1398"/>
      <c r="I67" s="1395"/>
      <c r="L67" t="s">
        <v>84</v>
      </c>
    </row>
    <row r="68" spans="2:12">
      <c r="B68" s="1387"/>
      <c r="C68" s="1" t="s">
        <v>60</v>
      </c>
      <c r="D68" s="8">
        <f t="shared" si="9"/>
        <v>56</v>
      </c>
      <c r="E68" s="3">
        <f t="shared" si="7"/>
        <v>260.37646672966559</v>
      </c>
      <c r="F68" s="14">
        <f t="shared" si="10"/>
        <v>1.1677414995744004</v>
      </c>
      <c r="G68" s="3">
        <f t="shared" si="8"/>
        <v>304.0524057127837</v>
      </c>
      <c r="H68" s="1398"/>
      <c r="I68" s="1395"/>
    </row>
    <row r="69" spans="2:12">
      <c r="B69" s="1387"/>
      <c r="C69" s="1" t="s">
        <v>61</v>
      </c>
      <c r="D69" s="8">
        <f t="shared" si="9"/>
        <v>57</v>
      </c>
      <c r="E69" s="3">
        <f t="shared" si="7"/>
        <v>261.50224157704912</v>
      </c>
      <c r="F69" s="14">
        <f t="shared" si="10"/>
        <v>1.1058867431855681</v>
      </c>
      <c r="G69" s="3">
        <f t="shared" si="8"/>
        <v>289.19186227336849</v>
      </c>
      <c r="H69" s="1398"/>
      <c r="I69" s="1395"/>
    </row>
    <row r="70" spans="2:12">
      <c r="B70" s="1387"/>
      <c r="C70" s="1" t="s">
        <v>62</v>
      </c>
      <c r="D70" s="8">
        <f t="shared" si="9"/>
        <v>58</v>
      </c>
      <c r="E70" s="3">
        <f t="shared" si="7"/>
        <v>262.62801642443264</v>
      </c>
      <c r="F70" s="14">
        <f t="shared" si="10"/>
        <v>1.051776964200271</v>
      </c>
      <c r="G70" s="3">
        <f t="shared" si="8"/>
        <v>276.2260978288287</v>
      </c>
      <c r="H70" s="1398"/>
      <c r="I70" s="1395"/>
    </row>
    <row r="71" spans="2:12">
      <c r="B71" s="1387"/>
      <c r="C71" s="1" t="s">
        <v>63</v>
      </c>
      <c r="D71" s="8">
        <f t="shared" si="9"/>
        <v>59</v>
      </c>
      <c r="E71" s="3">
        <f t="shared" si="7"/>
        <v>263.75379127181617</v>
      </c>
      <c r="F71" s="14">
        <f t="shared" si="10"/>
        <v>1.0871835927477735</v>
      </c>
      <c r="G71" s="3">
        <f t="shared" si="8"/>
        <v>286.74879439573948</v>
      </c>
      <c r="H71" s="1398"/>
      <c r="I71" s="1395"/>
    </row>
    <row r="72" spans="2:12" ht="15" thickBot="1">
      <c r="B72" s="1388"/>
      <c r="C72" s="2" t="s">
        <v>64</v>
      </c>
      <c r="D72" s="10">
        <f t="shared" si="9"/>
        <v>60</v>
      </c>
      <c r="E72" s="24">
        <f t="shared" si="7"/>
        <v>264.87956611919969</v>
      </c>
      <c r="F72" s="16">
        <f t="shared" si="10"/>
        <v>0.88554852483566016</v>
      </c>
      <c r="G72" s="24">
        <f t="shared" si="8"/>
        <v>234.56370903596701</v>
      </c>
      <c r="H72" s="1399"/>
      <c r="I72" s="1396"/>
    </row>
    <row r="73" spans="2:12">
      <c r="B73" s="1386">
        <v>2026</v>
      </c>
      <c r="C73" s="11" t="s">
        <v>53</v>
      </c>
      <c r="D73" s="12">
        <f t="shared" si="9"/>
        <v>61</v>
      </c>
      <c r="E73" s="25">
        <f t="shared" si="7"/>
        <v>266.00534096658316</v>
      </c>
      <c r="F73" s="20">
        <f t="shared" ref="F73:F84" si="11">F6</f>
        <v>0.84584638792864386</v>
      </c>
      <c r="G73" s="25">
        <f t="shared" si="8"/>
        <v>224.99965682631168</v>
      </c>
      <c r="H73" s="1397">
        <f>AVERAGE(G73:G84)</f>
        <v>272.41156376790047</v>
      </c>
      <c r="I73" s="1394">
        <f>MAX(G73:G84)</f>
        <v>319.82777381438495</v>
      </c>
    </row>
    <row r="74" spans="2:12">
      <c r="B74" s="1387"/>
      <c r="C74" s="1" t="s">
        <v>54</v>
      </c>
      <c r="D74" s="8">
        <f t="shared" si="9"/>
        <v>62</v>
      </c>
      <c r="E74" s="3">
        <f t="shared" si="7"/>
        <v>267.13111581396674</v>
      </c>
      <c r="F74" s="14">
        <f t="shared" si="11"/>
        <v>0.84074855082553424</v>
      </c>
      <c r="G74" s="3">
        <f t="shared" si="8"/>
        <v>224.59009850100048</v>
      </c>
      <c r="H74" s="1398"/>
      <c r="I74" s="1395"/>
    </row>
    <row r="75" spans="2:12">
      <c r="B75" s="1387"/>
      <c r="C75" s="1" t="s">
        <v>55</v>
      </c>
      <c r="D75" s="8">
        <f t="shared" si="9"/>
        <v>63</v>
      </c>
      <c r="E75" s="3">
        <f t="shared" si="7"/>
        <v>268.25689066135021</v>
      </c>
      <c r="F75" s="14">
        <f t="shared" si="11"/>
        <v>0.98611887278770483</v>
      </c>
      <c r="G75" s="3">
        <f t="shared" si="8"/>
        <v>264.53318263650527</v>
      </c>
      <c r="H75" s="1398"/>
      <c r="I75" s="1395"/>
    </row>
    <row r="76" spans="2:12">
      <c r="B76" s="1387"/>
      <c r="C76" s="1" t="s">
        <v>56</v>
      </c>
      <c r="D76" s="8">
        <f t="shared" si="9"/>
        <v>64</v>
      </c>
      <c r="E76" s="3">
        <f t="shared" si="7"/>
        <v>269.38266550873379</v>
      </c>
      <c r="F76" s="14">
        <f t="shared" si="11"/>
        <v>0.93345088674383747</v>
      </c>
      <c r="G76" s="3">
        <f t="shared" si="8"/>
        <v>251.45548799254613</v>
      </c>
      <c r="H76" s="1398"/>
      <c r="I76" s="1395"/>
    </row>
    <row r="77" spans="2:12">
      <c r="B77" s="1387"/>
      <c r="C77" s="1" t="s">
        <v>57</v>
      </c>
      <c r="D77" s="8">
        <f t="shared" si="9"/>
        <v>65</v>
      </c>
      <c r="E77" s="3">
        <f t="shared" si="7"/>
        <v>270.50844035611726</v>
      </c>
      <c r="F77" s="14">
        <f t="shared" si="11"/>
        <v>0.96541221495213758</v>
      </c>
      <c r="G77" s="3">
        <f t="shared" si="8"/>
        <v>261.15215256744739</v>
      </c>
      <c r="H77" s="1398"/>
      <c r="I77" s="1395"/>
    </row>
    <row r="78" spans="2:12">
      <c r="B78" s="1387"/>
      <c r="C78" s="1" t="s">
        <v>58</v>
      </c>
      <c r="D78" s="8">
        <f t="shared" si="9"/>
        <v>66</v>
      </c>
      <c r="E78" s="3">
        <f t="shared" si="7"/>
        <v>271.63421520350084</v>
      </c>
      <c r="F78" s="14">
        <f t="shared" si="11"/>
        <v>1.070838207307617</v>
      </c>
      <c r="G78" s="3">
        <f t="shared" si="8"/>
        <v>290.87629605192831</v>
      </c>
      <c r="H78" s="1398"/>
      <c r="I78" s="1395"/>
      <c r="L78" t="s">
        <v>85</v>
      </c>
    </row>
    <row r="79" spans="2:12">
      <c r="B79" s="1387"/>
      <c r="C79" s="1" t="s">
        <v>59</v>
      </c>
      <c r="D79" s="8">
        <f t="shared" si="9"/>
        <v>67</v>
      </c>
      <c r="E79" s="3">
        <f t="shared" si="7"/>
        <v>272.75999005088431</v>
      </c>
      <c r="F79" s="14">
        <f t="shared" si="11"/>
        <v>1.0594475549108522</v>
      </c>
      <c r="G79" s="3">
        <f t="shared" si="8"/>
        <v>288.97490453691773</v>
      </c>
      <c r="H79" s="1398"/>
      <c r="I79" s="1395"/>
    </row>
    <row r="80" spans="2:12">
      <c r="B80" s="1387"/>
      <c r="C80" s="1" t="s">
        <v>60</v>
      </c>
      <c r="D80" s="8">
        <f t="shared" si="9"/>
        <v>68</v>
      </c>
      <c r="E80" s="3">
        <f t="shared" si="7"/>
        <v>273.88576489826784</v>
      </c>
      <c r="F80" s="14">
        <f t="shared" si="11"/>
        <v>1.1677414995744004</v>
      </c>
      <c r="G80" s="3">
        <f t="shared" si="8"/>
        <v>319.82777381438495</v>
      </c>
      <c r="H80" s="1398"/>
      <c r="I80" s="1395"/>
    </row>
    <row r="81" spans="2:12">
      <c r="B81" s="1387"/>
      <c r="C81" s="1" t="s">
        <v>61</v>
      </c>
      <c r="D81" s="8">
        <f t="shared" si="9"/>
        <v>69</v>
      </c>
      <c r="E81" s="3">
        <f t="shared" si="7"/>
        <v>275.01153974565136</v>
      </c>
      <c r="F81" s="14">
        <f t="shared" si="11"/>
        <v>1.1058867431855681</v>
      </c>
      <c r="G81" s="3">
        <f t="shared" si="8"/>
        <v>304.13161602776682</v>
      </c>
      <c r="H81" s="1398"/>
      <c r="I81" s="1395"/>
    </row>
    <row r="82" spans="2:12">
      <c r="B82" s="1387"/>
      <c r="C82" s="1" t="s">
        <v>62</v>
      </c>
      <c r="D82" s="8">
        <f t="shared" si="9"/>
        <v>70</v>
      </c>
      <c r="E82" s="3">
        <f t="shared" si="7"/>
        <v>276.13731459303489</v>
      </c>
      <c r="F82" s="14">
        <f t="shared" si="11"/>
        <v>1.051776964200271</v>
      </c>
      <c r="G82" s="3">
        <f t="shared" si="8"/>
        <v>290.43486644507743</v>
      </c>
      <c r="H82" s="1398"/>
      <c r="I82" s="1395"/>
    </row>
    <row r="83" spans="2:12">
      <c r="B83" s="1387"/>
      <c r="C83" s="1" t="s">
        <v>63</v>
      </c>
      <c r="D83" s="8">
        <f t="shared" si="9"/>
        <v>71</v>
      </c>
      <c r="E83" s="3">
        <f t="shared" si="7"/>
        <v>277.26308944041841</v>
      </c>
      <c r="F83" s="14">
        <f t="shared" si="11"/>
        <v>1.0871835927477735</v>
      </c>
      <c r="G83" s="3">
        <f t="shared" si="8"/>
        <v>301.43588171418133</v>
      </c>
      <c r="H83" s="1398"/>
      <c r="I83" s="1395"/>
    </row>
    <row r="84" spans="2:12" ht="15" thickBot="1">
      <c r="B84" s="1388"/>
      <c r="C84" s="2" t="s">
        <v>64</v>
      </c>
      <c r="D84" s="10">
        <f t="shared" si="9"/>
        <v>72</v>
      </c>
      <c r="E84" s="24">
        <f t="shared" si="7"/>
        <v>278.38886428780194</v>
      </c>
      <c r="F84" s="16">
        <f t="shared" si="11"/>
        <v>0.88554852483566016</v>
      </c>
      <c r="G84" s="24">
        <f t="shared" si="8"/>
        <v>246.52684810073779</v>
      </c>
      <c r="H84" s="1399"/>
      <c r="I84" s="1396"/>
    </row>
    <row r="85" spans="2:12">
      <c r="B85" s="1386">
        <v>2027</v>
      </c>
      <c r="C85" s="11" t="s">
        <v>53</v>
      </c>
      <c r="D85" s="12">
        <f t="shared" si="9"/>
        <v>73</v>
      </c>
      <c r="E85" s="25">
        <f t="shared" si="7"/>
        <v>279.51463913518546</v>
      </c>
      <c r="F85" s="20">
        <f t="shared" ref="F85:F96" si="12">F6</f>
        <v>0.84584638792864386</v>
      </c>
      <c r="G85" s="25">
        <f t="shared" si="8"/>
        <v>236.42644788567497</v>
      </c>
      <c r="H85" s="1397">
        <f>AVERAGE(G85:G96)</f>
        <v>285.92086193650272</v>
      </c>
      <c r="I85" s="1394">
        <f>MAX(G85:G96)</f>
        <v>335.60314191598633</v>
      </c>
      <c r="J85" s="65"/>
    </row>
    <row r="86" spans="2:12">
      <c r="B86" s="1387"/>
      <c r="C86" s="1" t="s">
        <v>54</v>
      </c>
      <c r="D86" s="8">
        <f t="shared" si="9"/>
        <v>74</v>
      </c>
      <c r="E86" s="3">
        <f t="shared" si="7"/>
        <v>280.64041398256899</v>
      </c>
      <c r="F86" s="14">
        <f t="shared" si="12"/>
        <v>0.84074855082553424</v>
      </c>
      <c r="G86" s="3">
        <f t="shared" si="8"/>
        <v>235.94802135892286</v>
      </c>
      <c r="H86" s="1398"/>
      <c r="I86" s="1395"/>
    </row>
    <row r="87" spans="2:12">
      <c r="B87" s="1387"/>
      <c r="C87" s="1" t="s">
        <v>55</v>
      </c>
      <c r="D87" s="8">
        <f t="shared" si="9"/>
        <v>75</v>
      </c>
      <c r="E87" s="3">
        <f t="shared" si="7"/>
        <v>281.76618882995251</v>
      </c>
      <c r="F87" s="14">
        <f t="shared" si="12"/>
        <v>0.98611887278770483</v>
      </c>
      <c r="G87" s="3">
        <f t="shared" si="8"/>
        <v>277.85495651868035</v>
      </c>
      <c r="H87" s="1398"/>
      <c r="I87" s="1395"/>
    </row>
    <row r="88" spans="2:12">
      <c r="B88" s="1387"/>
      <c r="C88" s="1" t="s">
        <v>56</v>
      </c>
      <c r="D88" s="8">
        <f t="shared" si="9"/>
        <v>76</v>
      </c>
      <c r="E88" s="3">
        <f t="shared" si="7"/>
        <v>282.89196367733604</v>
      </c>
      <c r="F88" s="14">
        <f t="shared" si="12"/>
        <v>0.93345088674383747</v>
      </c>
      <c r="G88" s="3">
        <f t="shared" si="8"/>
        <v>264.06575434731479</v>
      </c>
      <c r="H88" s="1398"/>
      <c r="I88" s="1395"/>
    </row>
    <row r="89" spans="2:12">
      <c r="B89" s="1387"/>
      <c r="C89" s="1" t="s">
        <v>57</v>
      </c>
      <c r="D89" s="8">
        <f t="shared" si="9"/>
        <v>77</v>
      </c>
      <c r="E89" s="3">
        <f t="shared" si="7"/>
        <v>284.01773852471956</v>
      </c>
      <c r="F89" s="14">
        <f t="shared" si="12"/>
        <v>0.96541221495213758</v>
      </c>
      <c r="G89" s="3">
        <f t="shared" si="8"/>
        <v>274.19419403484659</v>
      </c>
      <c r="H89" s="1398"/>
      <c r="I89" s="1395"/>
    </row>
    <row r="90" spans="2:12">
      <c r="B90" s="1387"/>
      <c r="C90" s="1" t="s">
        <v>58</v>
      </c>
      <c r="D90" s="8">
        <f t="shared" si="9"/>
        <v>78</v>
      </c>
      <c r="E90" s="3">
        <f t="shared" si="7"/>
        <v>285.14351337210309</v>
      </c>
      <c r="F90" s="14">
        <f t="shared" si="12"/>
        <v>1.070838207307617</v>
      </c>
      <c r="G90" s="3">
        <f t="shared" si="8"/>
        <v>305.34256868477837</v>
      </c>
      <c r="H90" s="1398"/>
      <c r="I90" s="1395"/>
      <c r="L90" t="s">
        <v>86</v>
      </c>
    </row>
    <row r="91" spans="2:12">
      <c r="B91" s="1387"/>
      <c r="C91" s="1" t="s">
        <v>59</v>
      </c>
      <c r="D91" s="8">
        <f t="shared" si="9"/>
        <v>79</v>
      </c>
      <c r="E91" s="3">
        <f t="shared" si="7"/>
        <v>286.26928821948661</v>
      </c>
      <c r="F91" s="14">
        <f t="shared" si="12"/>
        <v>1.0594475549108522</v>
      </c>
      <c r="G91" s="3">
        <f t="shared" si="8"/>
        <v>303.28729745020513</v>
      </c>
      <c r="H91" s="1398"/>
      <c r="I91" s="1395"/>
    </row>
    <row r="92" spans="2:12">
      <c r="B92" s="1387"/>
      <c r="C92" s="1" t="s">
        <v>60</v>
      </c>
      <c r="D92" s="8">
        <f t="shared" si="9"/>
        <v>80</v>
      </c>
      <c r="E92" s="3">
        <f t="shared" si="7"/>
        <v>287.39506306687014</v>
      </c>
      <c r="F92" s="14">
        <f t="shared" si="12"/>
        <v>1.1677414995744004</v>
      </c>
      <c r="G92" s="3">
        <f t="shared" si="8"/>
        <v>335.60314191598633</v>
      </c>
      <c r="H92" s="1398"/>
      <c r="I92" s="1395"/>
    </row>
    <row r="93" spans="2:12">
      <c r="B93" s="1387"/>
      <c r="C93" s="1" t="s">
        <v>61</v>
      </c>
      <c r="D93" s="8">
        <f t="shared" si="9"/>
        <v>81</v>
      </c>
      <c r="E93" s="3">
        <f t="shared" si="7"/>
        <v>288.52083791425366</v>
      </c>
      <c r="F93" s="14">
        <f t="shared" si="12"/>
        <v>1.1058867431855681</v>
      </c>
      <c r="G93" s="3">
        <f t="shared" si="8"/>
        <v>319.07136978216516</v>
      </c>
      <c r="H93" s="1398"/>
      <c r="I93" s="1395"/>
    </row>
    <row r="94" spans="2:12">
      <c r="B94" s="1387"/>
      <c r="C94" s="1" t="s">
        <v>62</v>
      </c>
      <c r="D94" s="8">
        <f t="shared" si="9"/>
        <v>82</v>
      </c>
      <c r="E94" s="3">
        <f t="shared" si="7"/>
        <v>289.64661276163719</v>
      </c>
      <c r="F94" s="14">
        <f t="shared" si="12"/>
        <v>1.051776964200271</v>
      </c>
      <c r="G94" s="3">
        <f t="shared" si="8"/>
        <v>304.64363506132622</v>
      </c>
      <c r="H94" s="1398"/>
      <c r="I94" s="1395"/>
    </row>
    <row r="95" spans="2:12">
      <c r="B95" s="1387"/>
      <c r="C95" s="1" t="s">
        <v>63</v>
      </c>
      <c r="D95" s="8">
        <f t="shared" si="9"/>
        <v>83</v>
      </c>
      <c r="E95" s="3">
        <f t="shared" si="7"/>
        <v>290.77238760902071</v>
      </c>
      <c r="F95" s="14">
        <f t="shared" si="12"/>
        <v>1.0871835927477735</v>
      </c>
      <c r="G95" s="3">
        <f t="shared" si="8"/>
        <v>316.1229690326233</v>
      </c>
      <c r="H95" s="1398"/>
      <c r="I95" s="1395"/>
    </row>
    <row r="96" spans="2:12" ht="15" thickBot="1">
      <c r="B96" s="1388"/>
      <c r="C96" s="2" t="s">
        <v>64</v>
      </c>
      <c r="D96" s="10">
        <f t="shared" si="9"/>
        <v>84</v>
      </c>
      <c r="E96" s="24">
        <f t="shared" si="7"/>
        <v>291.89816245640424</v>
      </c>
      <c r="F96" s="16">
        <f t="shared" si="12"/>
        <v>0.88554852483566016</v>
      </c>
      <c r="G96" s="24">
        <f t="shared" si="8"/>
        <v>258.48998716550864</v>
      </c>
      <c r="H96" s="1399"/>
      <c r="I96" s="1396"/>
    </row>
    <row r="97" spans="2:12">
      <c r="B97" s="1386">
        <v>2028</v>
      </c>
      <c r="C97" s="11" t="s">
        <v>53</v>
      </c>
      <c r="D97" s="12">
        <f t="shared" si="9"/>
        <v>85</v>
      </c>
      <c r="E97" s="25">
        <f t="shared" si="7"/>
        <v>293.02393730378776</v>
      </c>
      <c r="F97" s="20">
        <f t="shared" ref="F97:F108" si="13">F6</f>
        <v>0.84584638792864386</v>
      </c>
      <c r="G97" s="25">
        <f t="shared" si="8"/>
        <v>247.85323894503827</v>
      </c>
      <c r="H97" s="1397">
        <f>AVERAGE(G97:G108)</f>
        <v>299.43016010510502</v>
      </c>
      <c r="I97" s="1394">
        <f>MAX(G97:G108)</f>
        <v>351.37851001758759</v>
      </c>
    </row>
    <row r="98" spans="2:12">
      <c r="B98" s="1387"/>
      <c r="C98" s="1" t="s">
        <v>54</v>
      </c>
      <c r="D98" s="8">
        <f t="shared" si="9"/>
        <v>86</v>
      </c>
      <c r="E98" s="3">
        <f t="shared" si="7"/>
        <v>294.14971215117129</v>
      </c>
      <c r="F98" s="14">
        <f t="shared" si="13"/>
        <v>0.84074855082553424</v>
      </c>
      <c r="G98" s="3">
        <f t="shared" si="8"/>
        <v>247.30594421684529</v>
      </c>
      <c r="H98" s="1398"/>
      <c r="I98" s="1395"/>
    </row>
    <row r="99" spans="2:12">
      <c r="B99" s="1387"/>
      <c r="C99" s="1" t="s">
        <v>55</v>
      </c>
      <c r="D99" s="8">
        <f t="shared" si="9"/>
        <v>87</v>
      </c>
      <c r="E99" s="3">
        <f t="shared" si="7"/>
        <v>295.27548699855481</v>
      </c>
      <c r="F99" s="14">
        <f t="shared" si="13"/>
        <v>0.98611887278770483</v>
      </c>
      <c r="G99" s="3">
        <f t="shared" si="8"/>
        <v>291.17673040085549</v>
      </c>
      <c r="H99" s="1398"/>
      <c r="I99" s="1395"/>
    </row>
    <row r="100" spans="2:12">
      <c r="B100" s="1387"/>
      <c r="C100" s="1" t="s">
        <v>56</v>
      </c>
      <c r="D100" s="8">
        <f t="shared" si="9"/>
        <v>88</v>
      </c>
      <c r="E100" s="3">
        <f t="shared" si="7"/>
        <v>296.40126184593828</v>
      </c>
      <c r="F100" s="14">
        <f t="shared" si="13"/>
        <v>0.93345088674383747</v>
      </c>
      <c r="G100" s="3">
        <f t="shared" si="8"/>
        <v>276.67602070208346</v>
      </c>
      <c r="H100" s="1398"/>
      <c r="I100" s="1395"/>
    </row>
    <row r="101" spans="2:12">
      <c r="B101" s="1387"/>
      <c r="C101" s="1" t="s">
        <v>57</v>
      </c>
      <c r="D101" s="8">
        <f t="shared" si="9"/>
        <v>89</v>
      </c>
      <c r="E101" s="3">
        <f t="shared" si="7"/>
        <v>297.52703669332186</v>
      </c>
      <c r="F101" s="14">
        <f t="shared" si="13"/>
        <v>0.96541221495213758</v>
      </c>
      <c r="G101" s="3">
        <f t="shared" si="8"/>
        <v>287.23623550224579</v>
      </c>
      <c r="H101" s="1398"/>
      <c r="I101" s="1395"/>
    </row>
    <row r="102" spans="2:12">
      <c r="B102" s="1387"/>
      <c r="C102" s="1" t="s">
        <v>58</v>
      </c>
      <c r="D102" s="8">
        <f t="shared" si="9"/>
        <v>90</v>
      </c>
      <c r="E102" s="3">
        <f t="shared" si="7"/>
        <v>298.65281154070533</v>
      </c>
      <c r="F102" s="14">
        <f t="shared" si="13"/>
        <v>1.070838207307617</v>
      </c>
      <c r="G102" s="3">
        <f t="shared" si="8"/>
        <v>319.80884131762849</v>
      </c>
      <c r="H102" s="1398"/>
      <c r="I102" s="1395"/>
      <c r="L102" t="s">
        <v>87</v>
      </c>
    </row>
    <row r="103" spans="2:12">
      <c r="B103" s="1387"/>
      <c r="C103" s="1" t="s">
        <v>59</v>
      </c>
      <c r="D103" s="8">
        <f t="shared" si="9"/>
        <v>91</v>
      </c>
      <c r="E103" s="3">
        <f t="shared" si="7"/>
        <v>299.77858638808891</v>
      </c>
      <c r="F103" s="14">
        <f t="shared" si="13"/>
        <v>1.0594475549108522</v>
      </c>
      <c r="G103" s="3">
        <f t="shared" si="8"/>
        <v>317.59969036349247</v>
      </c>
      <c r="H103" s="1398"/>
      <c r="I103" s="1395"/>
    </row>
    <row r="104" spans="2:12">
      <c r="B104" s="1387"/>
      <c r="C104" s="1" t="s">
        <v>60</v>
      </c>
      <c r="D104" s="8">
        <f t="shared" si="9"/>
        <v>92</v>
      </c>
      <c r="E104" s="3">
        <f t="shared" si="7"/>
        <v>300.90436123547238</v>
      </c>
      <c r="F104" s="14">
        <f t="shared" si="13"/>
        <v>1.1677414995744004</v>
      </c>
      <c r="G104" s="3">
        <f t="shared" si="8"/>
        <v>351.37851001758759</v>
      </c>
      <c r="H104" s="1398"/>
      <c r="I104" s="1395"/>
    </row>
    <row r="105" spans="2:12">
      <c r="B105" s="1387"/>
      <c r="C105" s="1" t="s">
        <v>61</v>
      </c>
      <c r="D105" s="8">
        <f t="shared" si="9"/>
        <v>93</v>
      </c>
      <c r="E105" s="3">
        <f t="shared" si="7"/>
        <v>302.0301360828559</v>
      </c>
      <c r="F105" s="14">
        <f t="shared" si="13"/>
        <v>1.1058867431855681</v>
      </c>
      <c r="G105" s="3">
        <f t="shared" si="8"/>
        <v>334.01112353656345</v>
      </c>
      <c r="H105" s="1398"/>
      <c r="I105" s="1395"/>
    </row>
    <row r="106" spans="2:12">
      <c r="B106" s="1387"/>
      <c r="C106" s="1" t="s">
        <v>62</v>
      </c>
      <c r="D106" s="8">
        <f t="shared" si="9"/>
        <v>94</v>
      </c>
      <c r="E106" s="3">
        <f t="shared" si="7"/>
        <v>303.15591093023943</v>
      </c>
      <c r="F106" s="14">
        <f t="shared" si="13"/>
        <v>1.051776964200271</v>
      </c>
      <c r="G106" s="3">
        <f t="shared" si="8"/>
        <v>318.85240367757496</v>
      </c>
      <c r="H106" s="1398"/>
      <c r="I106" s="1395"/>
    </row>
    <row r="107" spans="2:12">
      <c r="B107" s="1387"/>
      <c r="C107" s="1" t="s">
        <v>63</v>
      </c>
      <c r="D107" s="8">
        <f t="shared" si="9"/>
        <v>95</v>
      </c>
      <c r="E107" s="3">
        <f t="shared" si="7"/>
        <v>304.28168577762295</v>
      </c>
      <c r="F107" s="14">
        <f t="shared" si="13"/>
        <v>1.0871835927477735</v>
      </c>
      <c r="G107" s="3">
        <f t="shared" si="8"/>
        <v>330.81005635106521</v>
      </c>
      <c r="H107" s="1398"/>
      <c r="I107" s="1395"/>
    </row>
    <row r="108" spans="2:12" ht="15" thickBot="1">
      <c r="B108" s="1388"/>
      <c r="C108" s="2" t="s">
        <v>64</v>
      </c>
      <c r="D108" s="10">
        <f t="shared" si="9"/>
        <v>96</v>
      </c>
      <c r="E108" s="24">
        <f t="shared" si="7"/>
        <v>305.40746062500648</v>
      </c>
      <c r="F108" s="16">
        <f t="shared" si="13"/>
        <v>0.88554852483566016</v>
      </c>
      <c r="G108" s="24">
        <f t="shared" si="8"/>
        <v>270.45312623027945</v>
      </c>
      <c r="H108" s="1399"/>
      <c r="I108" s="1396"/>
    </row>
    <row r="109" spans="2:12" ht="15" thickBot="1"/>
    <row r="110" spans="2:12">
      <c r="B110" s="1376" t="str">
        <f>'1.3 - Historico Hormigon'!O44</f>
        <v>B</v>
      </c>
      <c r="C110" s="33">
        <f>'1.3 - Historico Hormigon'!P44</f>
        <v>-0.41429488219183236</v>
      </c>
    </row>
    <row r="111" spans="2:12" ht="15" thickBot="1">
      <c r="B111" s="1337" t="str">
        <f>'1.3 - Historico Hormigon'!O45</f>
        <v>A</v>
      </c>
      <c r="C111" s="34">
        <f>'1.3 - Historico Hormigon'!P45</f>
        <v>270.84081120658283</v>
      </c>
    </row>
    <row r="112" spans="2:12">
      <c r="B112" s="68"/>
      <c r="C112" s="67"/>
    </row>
    <row r="114" spans="1:4">
      <c r="A114" t="s">
        <v>88</v>
      </c>
    </row>
    <row r="115" spans="1:4" ht="15" thickBot="1"/>
    <row r="116" spans="1:4" ht="36" customHeight="1" thickBot="1">
      <c r="B116" s="1401" t="s">
        <v>89</v>
      </c>
      <c r="C116" s="1402"/>
      <c r="D116" s="1403"/>
    </row>
    <row r="117" spans="1:4" ht="22.15" customHeight="1" thickBot="1">
      <c r="B117" s="90" t="s">
        <v>50</v>
      </c>
      <c r="C117" s="91" t="s">
        <v>51</v>
      </c>
      <c r="D117" s="93" t="s">
        <v>90</v>
      </c>
    </row>
    <row r="118" spans="1:4">
      <c r="B118" s="1386">
        <v>2024</v>
      </c>
      <c r="C118" s="72" t="s">
        <v>53</v>
      </c>
      <c r="D118" s="30">
        <v>202.14607470758517</v>
      </c>
    </row>
    <row r="119" spans="1:4">
      <c r="B119" s="1387"/>
      <c r="C119" s="66" t="s">
        <v>54</v>
      </c>
      <c r="D119" s="28">
        <v>201.87425278515565</v>
      </c>
    </row>
    <row r="120" spans="1:4">
      <c r="B120" s="1387"/>
      <c r="C120" s="66" t="s">
        <v>55</v>
      </c>
      <c r="D120" s="28">
        <v>237.88963487215511</v>
      </c>
    </row>
    <row r="121" spans="1:4">
      <c r="B121" s="1387"/>
      <c r="C121" s="66" t="s">
        <v>56</v>
      </c>
      <c r="D121" s="28">
        <v>226.2349552830087</v>
      </c>
    </row>
    <row r="122" spans="1:4">
      <c r="B122" s="1387"/>
      <c r="C122" s="66" t="s">
        <v>57</v>
      </c>
      <c r="D122" s="28">
        <v>235.06806963264904</v>
      </c>
    </row>
    <row r="123" spans="1:4">
      <c r="B123" s="1387"/>
      <c r="C123" s="66" t="s">
        <v>58</v>
      </c>
      <c r="D123" s="28">
        <v>261.94375078622801</v>
      </c>
    </row>
    <row r="124" spans="1:4">
      <c r="B124" s="1387"/>
      <c r="C124" s="66" t="s">
        <v>59</v>
      </c>
      <c r="D124" s="28">
        <v>260.35011871034311</v>
      </c>
    </row>
    <row r="125" spans="1:4">
      <c r="B125" s="1387"/>
      <c r="C125" s="66" t="s">
        <v>60</v>
      </c>
      <c r="D125" s="28">
        <v>288.27703761118232</v>
      </c>
    </row>
    <row r="126" spans="1:4">
      <c r="B126" s="1387"/>
      <c r="C126" s="66" t="s">
        <v>61</v>
      </c>
      <c r="D126" s="28">
        <v>274.25210851897015</v>
      </c>
    </row>
    <row r="127" spans="1:4">
      <c r="B127" s="1387"/>
      <c r="C127" s="66" t="s">
        <v>62</v>
      </c>
      <c r="D127" s="28">
        <v>262.01732921257985</v>
      </c>
    </row>
    <row r="128" spans="1:4">
      <c r="B128" s="1387"/>
      <c r="C128" s="66" t="s">
        <v>63</v>
      </c>
      <c r="D128" s="28">
        <v>272.06170707729751</v>
      </c>
    </row>
    <row r="129" spans="2:4" ht="15" thickBot="1">
      <c r="B129" s="1388"/>
      <c r="C129" s="69" t="s">
        <v>64</v>
      </c>
      <c r="D129" s="29">
        <v>222.60056997119614</v>
      </c>
    </row>
    <row r="130" spans="2:4">
      <c r="B130" s="1386">
        <v>2025</v>
      </c>
      <c r="C130" s="72" t="s">
        <v>53</v>
      </c>
      <c r="D130" s="30">
        <v>213.57286576694844</v>
      </c>
    </row>
    <row r="131" spans="2:4">
      <c r="B131" s="1387"/>
      <c r="C131" s="66" t="s">
        <v>54</v>
      </c>
      <c r="D131" s="28">
        <v>213.23217564307805</v>
      </c>
    </row>
    <row r="132" spans="2:4">
      <c r="B132" s="1387"/>
      <c r="C132" s="66" t="s">
        <v>55</v>
      </c>
      <c r="D132" s="28">
        <v>251.21140875433019</v>
      </c>
    </row>
    <row r="133" spans="2:4">
      <c r="B133" s="1387"/>
      <c r="C133" s="66" t="s">
        <v>56</v>
      </c>
      <c r="D133" s="28">
        <v>238.8452216377774</v>
      </c>
    </row>
    <row r="134" spans="2:4">
      <c r="B134" s="1387"/>
      <c r="C134" s="66" t="s">
        <v>57</v>
      </c>
      <c r="D134" s="28">
        <v>248.11011110004821</v>
      </c>
    </row>
    <row r="135" spans="2:4">
      <c r="B135" s="1387"/>
      <c r="C135" s="66" t="s">
        <v>58</v>
      </c>
      <c r="D135" s="28">
        <v>276.41002341907813</v>
      </c>
    </row>
    <row r="136" spans="2:4">
      <c r="B136" s="1387"/>
      <c r="C136" s="66" t="s">
        <v>59</v>
      </c>
      <c r="D136" s="28">
        <v>274.66251162363045</v>
      </c>
    </row>
    <row r="137" spans="2:4">
      <c r="B137" s="1387"/>
      <c r="C137" s="66" t="s">
        <v>60</v>
      </c>
      <c r="D137" s="28">
        <v>304.0524057127837</v>
      </c>
    </row>
    <row r="138" spans="2:4">
      <c r="B138" s="1387"/>
      <c r="C138" s="66" t="s">
        <v>61</v>
      </c>
      <c r="D138" s="28">
        <v>289.19186227336849</v>
      </c>
    </row>
    <row r="139" spans="2:4">
      <c r="B139" s="1387"/>
      <c r="C139" s="66" t="s">
        <v>62</v>
      </c>
      <c r="D139" s="28">
        <v>276.2260978288287</v>
      </c>
    </row>
    <row r="140" spans="2:4">
      <c r="B140" s="1387"/>
      <c r="C140" s="66" t="s">
        <v>63</v>
      </c>
      <c r="D140" s="28">
        <v>286.74879439573948</v>
      </c>
    </row>
    <row r="141" spans="2:4" ht="15" thickBot="1">
      <c r="B141" s="1388"/>
      <c r="C141" s="69" t="s">
        <v>64</v>
      </c>
      <c r="D141" s="29">
        <v>234.56370903596701</v>
      </c>
    </row>
    <row r="142" spans="2:4">
      <c r="B142" s="1386">
        <v>2026</v>
      </c>
      <c r="C142" s="72" t="s">
        <v>53</v>
      </c>
      <c r="D142" s="30">
        <v>224.99965682631168</v>
      </c>
    </row>
    <row r="143" spans="2:4">
      <c r="B143" s="1387"/>
      <c r="C143" s="66" t="s">
        <v>54</v>
      </c>
      <c r="D143" s="28">
        <v>224.59009850100048</v>
      </c>
    </row>
    <row r="144" spans="2:4">
      <c r="B144" s="1387"/>
      <c r="C144" s="66" t="s">
        <v>55</v>
      </c>
      <c r="D144" s="28">
        <v>264.53318263650527</v>
      </c>
    </row>
    <row r="145" spans="2:4">
      <c r="B145" s="1387"/>
      <c r="C145" s="66" t="s">
        <v>56</v>
      </c>
      <c r="D145" s="28">
        <v>251.45548799254613</v>
      </c>
    </row>
    <row r="146" spans="2:4">
      <c r="B146" s="1387"/>
      <c r="C146" s="66" t="s">
        <v>57</v>
      </c>
      <c r="D146" s="28">
        <v>261.15215256744739</v>
      </c>
    </row>
    <row r="147" spans="2:4">
      <c r="B147" s="1387"/>
      <c r="C147" s="66" t="s">
        <v>58</v>
      </c>
      <c r="D147" s="28">
        <v>290.87629605192831</v>
      </c>
    </row>
    <row r="148" spans="2:4">
      <c r="B148" s="1387"/>
      <c r="C148" s="66" t="s">
        <v>59</v>
      </c>
      <c r="D148" s="28">
        <v>288.97490453691773</v>
      </c>
    </row>
    <row r="149" spans="2:4">
      <c r="B149" s="1387"/>
      <c r="C149" s="66" t="s">
        <v>60</v>
      </c>
      <c r="D149" s="28">
        <v>319.82777381438495</v>
      </c>
    </row>
    <row r="150" spans="2:4">
      <c r="B150" s="1387"/>
      <c r="C150" s="66" t="s">
        <v>61</v>
      </c>
      <c r="D150" s="28">
        <v>304.13161602776682</v>
      </c>
    </row>
    <row r="151" spans="2:4">
      <c r="B151" s="1387"/>
      <c r="C151" s="66" t="s">
        <v>62</v>
      </c>
      <c r="D151" s="28">
        <v>290.43486644507743</v>
      </c>
    </row>
    <row r="152" spans="2:4">
      <c r="B152" s="1387"/>
      <c r="C152" s="66" t="s">
        <v>63</v>
      </c>
      <c r="D152" s="28">
        <v>301.43588171418133</v>
      </c>
    </row>
    <row r="153" spans="2:4" ht="15" thickBot="1">
      <c r="B153" s="1388"/>
      <c r="C153" s="69" t="s">
        <v>64</v>
      </c>
      <c r="D153" s="29">
        <v>246.52684810073779</v>
      </c>
    </row>
    <row r="154" spans="2:4">
      <c r="B154" s="1386">
        <v>2027</v>
      </c>
      <c r="C154" s="72" t="s">
        <v>53</v>
      </c>
      <c r="D154" s="30">
        <v>236.42644788567497</v>
      </c>
    </row>
    <row r="155" spans="2:4">
      <c r="B155" s="1387"/>
      <c r="C155" s="66" t="s">
        <v>54</v>
      </c>
      <c r="D155" s="28">
        <v>235.94802135892286</v>
      </c>
    </row>
    <row r="156" spans="2:4">
      <c r="B156" s="1387"/>
      <c r="C156" s="66" t="s">
        <v>55</v>
      </c>
      <c r="D156" s="28">
        <v>277.85495651868035</v>
      </c>
    </row>
    <row r="157" spans="2:4">
      <c r="B157" s="1387"/>
      <c r="C157" s="66" t="s">
        <v>56</v>
      </c>
      <c r="D157" s="28">
        <v>264.06575434731479</v>
      </c>
    </row>
    <row r="158" spans="2:4">
      <c r="B158" s="1387"/>
      <c r="C158" s="66" t="s">
        <v>57</v>
      </c>
      <c r="D158" s="28">
        <v>274.19419403484659</v>
      </c>
    </row>
    <row r="159" spans="2:4">
      <c r="B159" s="1387"/>
      <c r="C159" s="66" t="s">
        <v>58</v>
      </c>
      <c r="D159" s="28">
        <v>305.34256868477837</v>
      </c>
    </row>
    <row r="160" spans="2:4">
      <c r="B160" s="1387"/>
      <c r="C160" s="66" t="s">
        <v>59</v>
      </c>
      <c r="D160" s="28">
        <v>303.28729745020513</v>
      </c>
    </row>
    <row r="161" spans="2:4">
      <c r="B161" s="1387"/>
      <c r="C161" s="66" t="s">
        <v>60</v>
      </c>
      <c r="D161" s="28">
        <v>335.60314191598633</v>
      </c>
    </row>
    <row r="162" spans="2:4">
      <c r="B162" s="1387"/>
      <c r="C162" s="66" t="s">
        <v>61</v>
      </c>
      <c r="D162" s="28">
        <v>319.07136978216516</v>
      </c>
    </row>
    <row r="163" spans="2:4">
      <c r="B163" s="1387"/>
      <c r="C163" s="66" t="s">
        <v>62</v>
      </c>
      <c r="D163" s="28">
        <v>304.64363506132622</v>
      </c>
    </row>
    <row r="164" spans="2:4">
      <c r="B164" s="1387"/>
      <c r="C164" s="66" t="s">
        <v>63</v>
      </c>
      <c r="D164" s="28">
        <v>316.1229690326233</v>
      </c>
    </row>
    <row r="165" spans="2:4" ht="15" thickBot="1">
      <c r="B165" s="1388"/>
      <c r="C165" s="69" t="s">
        <v>64</v>
      </c>
      <c r="D165" s="29">
        <v>258.48998716550864</v>
      </c>
    </row>
    <row r="166" spans="2:4">
      <c r="B166" s="1400">
        <v>2028</v>
      </c>
      <c r="C166" s="70" t="s">
        <v>53</v>
      </c>
      <c r="D166" s="71">
        <v>247.85323894503827</v>
      </c>
    </row>
    <row r="167" spans="2:4">
      <c r="B167" s="1387"/>
      <c r="C167" s="66" t="s">
        <v>54</v>
      </c>
      <c r="D167" s="28">
        <v>247.30594421684529</v>
      </c>
    </row>
    <row r="168" spans="2:4">
      <c r="B168" s="1387"/>
      <c r="C168" s="66" t="s">
        <v>55</v>
      </c>
      <c r="D168" s="28">
        <v>291.17673040085549</v>
      </c>
    </row>
    <row r="169" spans="2:4">
      <c r="B169" s="1387"/>
      <c r="C169" s="66" t="s">
        <v>56</v>
      </c>
      <c r="D169" s="28">
        <v>276.67602070208346</v>
      </c>
    </row>
    <row r="170" spans="2:4">
      <c r="B170" s="1387"/>
      <c r="C170" s="66" t="s">
        <v>57</v>
      </c>
      <c r="D170" s="28">
        <v>287.23623550224579</v>
      </c>
    </row>
    <row r="171" spans="2:4">
      <c r="B171" s="1387"/>
      <c r="C171" s="66" t="s">
        <v>58</v>
      </c>
      <c r="D171" s="28">
        <v>319.80884131762849</v>
      </c>
    </row>
    <row r="172" spans="2:4">
      <c r="B172" s="1387"/>
      <c r="C172" s="66" t="s">
        <v>59</v>
      </c>
      <c r="D172" s="28">
        <v>317.59969036349247</v>
      </c>
    </row>
    <row r="173" spans="2:4">
      <c r="B173" s="1387"/>
      <c r="C173" s="66" t="s">
        <v>60</v>
      </c>
      <c r="D173" s="28">
        <v>351.37851001758759</v>
      </c>
    </row>
    <row r="174" spans="2:4">
      <c r="B174" s="1387"/>
      <c r="C174" s="66" t="s">
        <v>61</v>
      </c>
      <c r="D174" s="28">
        <v>334.01112353656345</v>
      </c>
    </row>
    <row r="175" spans="2:4">
      <c r="B175" s="1387"/>
      <c r="C175" s="66" t="s">
        <v>62</v>
      </c>
      <c r="D175" s="28">
        <v>318.85240367757496</v>
      </c>
    </row>
    <row r="176" spans="2:4">
      <c r="B176" s="1387"/>
      <c r="C176" s="66" t="s">
        <v>63</v>
      </c>
      <c r="D176" s="28">
        <v>330.81005635106521</v>
      </c>
    </row>
    <row r="177" spans="2:4" ht="15" thickBot="1">
      <c r="B177" s="1388"/>
      <c r="C177" s="69" t="s">
        <v>64</v>
      </c>
      <c r="D177" s="29">
        <v>270.45312623027945</v>
      </c>
    </row>
  </sheetData>
  <mergeCells count="27">
    <mergeCell ref="B116:D116"/>
    <mergeCell ref="B4:I4"/>
    <mergeCell ref="B6:B17"/>
    <mergeCell ref="B18:B29"/>
    <mergeCell ref="B49:B60"/>
    <mergeCell ref="B61:B72"/>
    <mergeCell ref="H61:H72"/>
    <mergeCell ref="B47:I47"/>
    <mergeCell ref="I49:I60"/>
    <mergeCell ref="I97:I108"/>
    <mergeCell ref="B73:B84"/>
    <mergeCell ref="B85:B96"/>
    <mergeCell ref="B97:B108"/>
    <mergeCell ref="H73:H84"/>
    <mergeCell ref="I73:I84"/>
    <mergeCell ref="H97:H108"/>
    <mergeCell ref="B166:B177"/>
    <mergeCell ref="B118:B129"/>
    <mergeCell ref="B130:B141"/>
    <mergeCell ref="B142:B153"/>
    <mergeCell ref="B154:B165"/>
    <mergeCell ref="I61:I72"/>
    <mergeCell ref="H49:H60"/>
    <mergeCell ref="I85:I96"/>
    <mergeCell ref="H85:H96"/>
    <mergeCell ref="B2:C2"/>
    <mergeCell ref="B30:B41"/>
  </mergeCells>
  <hyperlinks>
    <hyperlink ref="D2" location="Indice!A1" display="INDICE" xr:uid="{00000000-0004-0000-0400-000000000000}"/>
  </hyperlinks>
  <pageMargins left="0.7" right="0.7" top="0.75" bottom="0.75" header="0.3" footer="0.3"/>
  <pageSetup paperSize="9" orientation="portrait" horizontalDpi="0"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B2:W116"/>
  <sheetViews>
    <sheetView showGridLines="0" tabSelected="1" topLeftCell="A100" zoomScale="70" zoomScaleNormal="70" workbookViewId="0">
      <selection activeCell="J111" sqref="J111:J113"/>
    </sheetView>
  </sheetViews>
  <sheetFormatPr defaultColWidth="11.5703125" defaultRowHeight="14.45"/>
  <cols>
    <col min="1" max="1" width="3.7109375" customWidth="1"/>
    <col min="4" max="17" width="16.7109375" customWidth="1"/>
    <col min="19" max="19" width="42.7109375" customWidth="1"/>
    <col min="22" max="22" width="24.5703125" customWidth="1"/>
    <col min="23" max="23" width="21.5703125" bestFit="1" customWidth="1"/>
  </cols>
  <sheetData>
    <row r="2" spans="2:21">
      <c r="B2" s="1384" t="s">
        <v>48</v>
      </c>
      <c r="C2" s="1384"/>
      <c r="D2" s="337" t="s">
        <v>49</v>
      </c>
    </row>
    <row r="3" spans="2:21" ht="15" thickBot="1"/>
    <row r="4" spans="2:21" ht="72.599999999999994" thickBot="1">
      <c r="B4" s="1406" t="s">
        <v>91</v>
      </c>
      <c r="C4" s="1407"/>
      <c r="D4" s="97" t="s">
        <v>71</v>
      </c>
      <c r="E4" s="97" t="s">
        <v>92</v>
      </c>
      <c r="F4" s="97" t="s">
        <v>93</v>
      </c>
      <c r="G4" s="97" t="s">
        <v>94</v>
      </c>
      <c r="H4" s="97" t="s">
        <v>95</v>
      </c>
      <c r="I4" s="97" t="s">
        <v>96</v>
      </c>
      <c r="J4" s="97" t="s">
        <v>97</v>
      </c>
      <c r="K4" s="97" t="s">
        <v>98</v>
      </c>
      <c r="L4" s="97" t="s">
        <v>99</v>
      </c>
      <c r="M4" s="97" t="s">
        <v>100</v>
      </c>
      <c r="N4" s="97" t="s">
        <v>101</v>
      </c>
      <c r="O4" s="97" t="s">
        <v>95</v>
      </c>
      <c r="P4" s="97" t="s">
        <v>102</v>
      </c>
      <c r="Q4" s="89" t="s">
        <v>103</v>
      </c>
    </row>
    <row r="5" spans="2:21" ht="15.6">
      <c r="B5" s="1386">
        <f>'1.4 -Proy. hormigon 2024 - 2028'!B118</f>
        <v>2024</v>
      </c>
      <c r="C5" s="11" t="s">
        <v>53</v>
      </c>
      <c r="D5" s="60">
        <f>'1.4 -Proy. hormigon 2024 - 2028'!D118</f>
        <v>202.14607470758517</v>
      </c>
      <c r="E5" s="25">
        <f>D5*$T$6</f>
        <v>60.643822412275547</v>
      </c>
      <c r="F5" s="1313">
        <f t="shared" ref="F5:F64" si="0">E5*1000*1000</f>
        <v>60643822.412275553</v>
      </c>
      <c r="G5" s="1313">
        <f>F5/$T$8</f>
        <v>24257.52896491022</v>
      </c>
      <c r="H5" s="1313">
        <f t="shared" ref="H5:H16" si="1">G5/$T$10</f>
        <v>86634.03201753649</v>
      </c>
      <c r="I5" s="1313">
        <f t="shared" ref="I5:I16" si="2">H5*$T$9*$T$7</f>
        <v>259902.09605260944</v>
      </c>
      <c r="J5" s="1408">
        <v>1.4999999999999999E-2</v>
      </c>
      <c r="K5" s="75">
        <v>0</v>
      </c>
      <c r="L5" s="1313">
        <f>I5*$J$5*K5</f>
        <v>0</v>
      </c>
      <c r="M5" s="1411">
        <f>AVERAGE(L5:L16)</f>
        <v>2371.6899948782984</v>
      </c>
      <c r="N5" s="1411">
        <f>SUM(L5:L16)</f>
        <v>28460.279938539581</v>
      </c>
      <c r="O5" s="76">
        <f>L5/$T$9</f>
        <v>0</v>
      </c>
      <c r="P5" s="1421">
        <f>AVERAGE(O5:O16)</f>
        <v>237.16899948782984</v>
      </c>
      <c r="Q5" s="1418">
        <f>SUM(O5:O16)</f>
        <v>2846.0279938539579</v>
      </c>
      <c r="S5" s="98" t="s">
        <v>104</v>
      </c>
      <c r="T5" s="101"/>
      <c r="U5" s="102"/>
    </row>
    <row r="6" spans="2:21">
      <c r="B6" s="1387"/>
      <c r="C6" s="1" t="s">
        <v>54</v>
      </c>
      <c r="D6" s="57">
        <f>'1.4 -Proy. hormigon 2024 - 2028'!D119</f>
        <v>201.87425278515565</v>
      </c>
      <c r="E6" s="3">
        <f t="shared" ref="E6:E64" si="3">D6*$T$6</f>
        <v>60.562275835546693</v>
      </c>
      <c r="F6" s="46">
        <f t="shared" si="0"/>
        <v>60562275.835546695</v>
      </c>
      <c r="G6" s="46">
        <f t="shared" ref="G6:G16" si="4">F6/$T$8</f>
        <v>24224.910334218679</v>
      </c>
      <c r="H6" s="46">
        <f t="shared" si="1"/>
        <v>86517.536907923844</v>
      </c>
      <c r="I6" s="46">
        <f t="shared" si="2"/>
        <v>259552.61072377153</v>
      </c>
      <c r="J6" s="1409"/>
      <c r="K6" s="73">
        <v>0</v>
      </c>
      <c r="L6" s="46">
        <f t="shared" ref="L6:L15" si="5">I6*$J$5*K6</f>
        <v>0</v>
      </c>
      <c r="M6" s="1412"/>
      <c r="N6" s="1412"/>
      <c r="O6" s="77">
        <f t="shared" ref="O6:O64" si="6">L6/$T$9</f>
        <v>0</v>
      </c>
      <c r="P6" s="1398"/>
      <c r="Q6" s="1419"/>
      <c r="S6" s="99" t="s">
        <v>105</v>
      </c>
      <c r="T6" s="1360">
        <v>0.3</v>
      </c>
      <c r="U6" s="4"/>
    </row>
    <row r="7" spans="2:21">
      <c r="B7" s="1387"/>
      <c r="C7" s="1" t="s">
        <v>55</v>
      </c>
      <c r="D7" s="57">
        <f>'1.4 -Proy. hormigon 2024 - 2028'!D120</f>
        <v>237.88963487215511</v>
      </c>
      <c r="E7" s="3">
        <f t="shared" si="3"/>
        <v>71.366890461646534</v>
      </c>
      <c r="F7" s="46">
        <f t="shared" si="0"/>
        <v>71366890.461646527</v>
      </c>
      <c r="G7" s="46">
        <f t="shared" si="4"/>
        <v>28546.75618465861</v>
      </c>
      <c r="H7" s="46">
        <f t="shared" si="1"/>
        <v>101952.70065949502</v>
      </c>
      <c r="I7" s="46">
        <f t="shared" si="2"/>
        <v>305858.10197848507</v>
      </c>
      <c r="J7" s="1409"/>
      <c r="K7" s="73">
        <v>0.1</v>
      </c>
      <c r="L7" s="46">
        <f t="shared" si="5"/>
        <v>458.78715296772765</v>
      </c>
      <c r="M7" s="1412"/>
      <c r="N7" s="1412"/>
      <c r="O7" s="77">
        <f t="shared" si="6"/>
        <v>45.878715296772768</v>
      </c>
      <c r="P7" s="1398"/>
      <c r="Q7" s="1419"/>
      <c r="R7" s="65"/>
      <c r="S7" s="99" t="s">
        <v>106</v>
      </c>
      <c r="T7" s="1360">
        <v>0.3</v>
      </c>
      <c r="U7" s="4"/>
    </row>
    <row r="8" spans="2:21">
      <c r="B8" s="1387"/>
      <c r="C8" s="1" t="s">
        <v>56</v>
      </c>
      <c r="D8" s="57">
        <f>'1.4 -Proy. hormigon 2024 - 2028'!D121</f>
        <v>226.2349552830087</v>
      </c>
      <c r="E8" s="3">
        <f t="shared" si="3"/>
        <v>67.870486584902608</v>
      </c>
      <c r="F8" s="46">
        <f t="shared" si="0"/>
        <v>67870486.584902614</v>
      </c>
      <c r="G8" s="46">
        <f t="shared" si="4"/>
        <v>27148.194633961044</v>
      </c>
      <c r="H8" s="46">
        <f t="shared" si="1"/>
        <v>96957.83797843229</v>
      </c>
      <c r="I8" s="46">
        <f t="shared" si="2"/>
        <v>290873.51393529685</v>
      </c>
      <c r="J8" s="1409"/>
      <c r="K8" s="73">
        <v>0.15</v>
      </c>
      <c r="L8" s="46">
        <f t="shared" si="5"/>
        <v>654.46540635441795</v>
      </c>
      <c r="M8" s="1412"/>
      <c r="N8" s="1412"/>
      <c r="O8" s="77">
        <f t="shared" si="6"/>
        <v>65.446540635441792</v>
      </c>
      <c r="P8" s="1398"/>
      <c r="Q8" s="1419"/>
      <c r="S8" s="99" t="s">
        <v>107</v>
      </c>
      <c r="T8" s="1360">
        <v>2500</v>
      </c>
      <c r="U8" s="4" t="s">
        <v>108</v>
      </c>
    </row>
    <row r="9" spans="2:21">
      <c r="B9" s="1387"/>
      <c r="C9" s="1" t="s">
        <v>57</v>
      </c>
      <c r="D9" s="57">
        <f>'1.4 -Proy. hormigon 2024 - 2028'!D122</f>
        <v>235.06806963264904</v>
      </c>
      <c r="E9" s="3">
        <f t="shared" si="3"/>
        <v>70.520420889794707</v>
      </c>
      <c r="F9" s="46">
        <f t="shared" si="0"/>
        <v>70520420.889794707</v>
      </c>
      <c r="G9" s="46">
        <f t="shared" si="4"/>
        <v>28208.168355917882</v>
      </c>
      <c r="H9" s="46">
        <f t="shared" si="1"/>
        <v>100743.45841399243</v>
      </c>
      <c r="I9" s="46">
        <f t="shared" si="2"/>
        <v>302230.37524197728</v>
      </c>
      <c r="J9" s="1409"/>
      <c r="K9" s="73">
        <v>0.25</v>
      </c>
      <c r="L9" s="46">
        <f t="shared" si="5"/>
        <v>1133.3639071574148</v>
      </c>
      <c r="M9" s="1412"/>
      <c r="N9" s="1412"/>
      <c r="O9" s="77">
        <f t="shared" si="6"/>
        <v>113.33639071574149</v>
      </c>
      <c r="P9" s="1398"/>
      <c r="Q9" s="1419"/>
      <c r="S9" s="99" t="s">
        <v>109</v>
      </c>
      <c r="T9" s="1360">
        <v>10</v>
      </c>
      <c r="U9" s="4" t="s">
        <v>110</v>
      </c>
    </row>
    <row r="10" spans="2:21">
      <c r="B10" s="1387"/>
      <c r="C10" s="1" t="s">
        <v>58</v>
      </c>
      <c r="D10" s="57">
        <f>'1.4 -Proy. hormigon 2024 - 2028'!D123</f>
        <v>261.94375078622801</v>
      </c>
      <c r="E10" s="3">
        <f t="shared" si="3"/>
        <v>78.583125235868394</v>
      </c>
      <c r="F10" s="46">
        <f t="shared" si="0"/>
        <v>78583125.235868394</v>
      </c>
      <c r="G10" s="46">
        <f t="shared" si="4"/>
        <v>31433.250094347357</v>
      </c>
      <c r="H10" s="46">
        <f t="shared" si="1"/>
        <v>112261.60747981198</v>
      </c>
      <c r="I10" s="46">
        <f t="shared" si="2"/>
        <v>336784.82243943593</v>
      </c>
      <c r="J10" s="1409"/>
      <c r="K10" s="73">
        <v>0.4</v>
      </c>
      <c r="L10" s="46">
        <f t="shared" si="5"/>
        <v>2020.7089346366156</v>
      </c>
      <c r="M10" s="1412"/>
      <c r="N10" s="1412"/>
      <c r="O10" s="77">
        <f t="shared" si="6"/>
        <v>202.07089346366155</v>
      </c>
      <c r="P10" s="1398"/>
      <c r="Q10" s="1419"/>
      <c r="S10" s="99" t="s">
        <v>111</v>
      </c>
      <c r="T10" s="1360">
        <v>0.28000000000000003</v>
      </c>
      <c r="U10" s="4" t="s">
        <v>112</v>
      </c>
    </row>
    <row r="11" spans="2:21" ht="15" thickBot="1">
      <c r="B11" s="1387"/>
      <c r="C11" s="1" t="s">
        <v>59</v>
      </c>
      <c r="D11" s="57">
        <f>'1.4 -Proy. hormigon 2024 - 2028'!D124</f>
        <v>260.35011871034311</v>
      </c>
      <c r="E11" s="3">
        <f t="shared" si="3"/>
        <v>78.105035613102928</v>
      </c>
      <c r="F11" s="46">
        <f t="shared" si="0"/>
        <v>78105035.613102928</v>
      </c>
      <c r="G11" s="46">
        <f t="shared" si="4"/>
        <v>31242.014245241171</v>
      </c>
      <c r="H11" s="46">
        <f t="shared" si="1"/>
        <v>111578.62230443275</v>
      </c>
      <c r="I11" s="46">
        <f t="shared" si="2"/>
        <v>334735.8669132982</v>
      </c>
      <c r="J11" s="1409"/>
      <c r="K11" s="73">
        <v>0.55000000000000004</v>
      </c>
      <c r="L11" s="46">
        <f t="shared" si="5"/>
        <v>2761.5709020347103</v>
      </c>
      <c r="M11" s="1412"/>
      <c r="N11" s="1412"/>
      <c r="O11" s="77">
        <f t="shared" si="6"/>
        <v>276.15709020347106</v>
      </c>
      <c r="P11" s="1398"/>
      <c r="Q11" s="1419"/>
      <c r="S11" s="100" t="s">
        <v>113</v>
      </c>
      <c r="T11" s="1367">
        <v>0.03</v>
      </c>
      <c r="U11" s="5"/>
    </row>
    <row r="12" spans="2:21">
      <c r="B12" s="1387"/>
      <c r="C12" s="1" t="s">
        <v>60</v>
      </c>
      <c r="D12" s="57">
        <f>'1.4 -Proy. hormigon 2024 - 2028'!D125</f>
        <v>288.27703761118232</v>
      </c>
      <c r="E12" s="3">
        <f t="shared" si="3"/>
        <v>86.483111283354688</v>
      </c>
      <c r="F12" s="46">
        <f t="shared" si="0"/>
        <v>86483111.2833547</v>
      </c>
      <c r="G12" s="46">
        <f t="shared" si="4"/>
        <v>34593.244513341881</v>
      </c>
      <c r="H12" s="46">
        <f t="shared" si="1"/>
        <v>123547.30183336385</v>
      </c>
      <c r="I12" s="46">
        <f t="shared" si="2"/>
        <v>370641.90550009155</v>
      </c>
      <c r="J12" s="1409"/>
      <c r="K12" s="73">
        <v>0.7</v>
      </c>
      <c r="L12" s="46">
        <f t="shared" si="5"/>
        <v>3891.7400077509606</v>
      </c>
      <c r="M12" s="1412"/>
      <c r="N12" s="1412"/>
      <c r="O12" s="77">
        <f t="shared" si="6"/>
        <v>389.17400077509603</v>
      </c>
      <c r="P12" s="1398"/>
      <c r="Q12" s="1419"/>
    </row>
    <row r="13" spans="2:21">
      <c r="B13" s="1387"/>
      <c r="C13" s="1" t="s">
        <v>61</v>
      </c>
      <c r="D13" s="57">
        <f>'1.4 -Proy. hormigon 2024 - 2028'!D126</f>
        <v>274.25210851897015</v>
      </c>
      <c r="E13" s="3">
        <f t="shared" si="3"/>
        <v>82.275632555691047</v>
      </c>
      <c r="F13" s="46">
        <f t="shared" si="0"/>
        <v>82275632.555691049</v>
      </c>
      <c r="G13" s="46">
        <f t="shared" si="4"/>
        <v>32910.253022276418</v>
      </c>
      <c r="H13" s="46">
        <f t="shared" si="1"/>
        <v>117536.61793670148</v>
      </c>
      <c r="I13" s="46">
        <f t="shared" si="2"/>
        <v>352609.85381010448</v>
      </c>
      <c r="J13" s="1409"/>
      <c r="K13" s="73">
        <v>0.75</v>
      </c>
      <c r="L13" s="46">
        <f t="shared" si="5"/>
        <v>3966.860855363675</v>
      </c>
      <c r="M13" s="1412"/>
      <c r="N13" s="1412"/>
      <c r="O13" s="77">
        <f t="shared" si="6"/>
        <v>396.6860855363675</v>
      </c>
      <c r="P13" s="1398"/>
      <c r="Q13" s="1419"/>
    </row>
    <row r="14" spans="2:21">
      <c r="B14" s="1387"/>
      <c r="C14" s="1" t="s">
        <v>62</v>
      </c>
      <c r="D14" s="57">
        <f>'1.4 -Proy. hormigon 2024 - 2028'!D127</f>
        <v>262.01732921257985</v>
      </c>
      <c r="E14" s="3">
        <f t="shared" si="3"/>
        <v>78.605198763773956</v>
      </c>
      <c r="F14" s="46">
        <f t="shared" si="0"/>
        <v>78605198.763773948</v>
      </c>
      <c r="G14" s="46">
        <f t="shared" si="4"/>
        <v>31442.07950550958</v>
      </c>
      <c r="H14" s="46">
        <f t="shared" si="1"/>
        <v>112293.14109110563</v>
      </c>
      <c r="I14" s="46">
        <f t="shared" si="2"/>
        <v>336879.42327331688</v>
      </c>
      <c r="J14" s="1409"/>
      <c r="K14" s="73">
        <v>0.85</v>
      </c>
      <c r="L14" s="46">
        <f t="shared" si="5"/>
        <v>4295.2126467347898</v>
      </c>
      <c r="M14" s="1412"/>
      <c r="N14" s="1412"/>
      <c r="O14" s="77">
        <f t="shared" si="6"/>
        <v>429.52126467347898</v>
      </c>
      <c r="P14" s="1398"/>
      <c r="Q14" s="1419"/>
    </row>
    <row r="15" spans="2:21">
      <c r="B15" s="1387"/>
      <c r="C15" s="1" t="s">
        <v>63</v>
      </c>
      <c r="D15" s="57">
        <f>'1.4 -Proy. hormigon 2024 - 2028'!D128</f>
        <v>272.06170707729751</v>
      </c>
      <c r="E15" s="3">
        <f t="shared" si="3"/>
        <v>81.618512123189248</v>
      </c>
      <c r="F15" s="46">
        <f t="shared" si="0"/>
        <v>81618512.123189256</v>
      </c>
      <c r="G15" s="46">
        <f t="shared" si="4"/>
        <v>32647.404849275703</v>
      </c>
      <c r="H15" s="46">
        <f t="shared" si="1"/>
        <v>116597.87446169893</v>
      </c>
      <c r="I15" s="46">
        <f t="shared" si="2"/>
        <v>349793.62338509678</v>
      </c>
      <c r="J15" s="1409"/>
      <c r="K15" s="73">
        <v>0.95</v>
      </c>
      <c r="L15" s="46">
        <f t="shared" si="5"/>
        <v>4984.5591332376289</v>
      </c>
      <c r="M15" s="1412"/>
      <c r="N15" s="1412"/>
      <c r="O15" s="77">
        <f t="shared" si="6"/>
        <v>498.4559133237629</v>
      </c>
      <c r="P15" s="1398"/>
      <c r="Q15" s="1419"/>
    </row>
    <row r="16" spans="2:21" ht="15" thickBot="1">
      <c r="B16" s="1388"/>
      <c r="C16" s="2" t="s">
        <v>64</v>
      </c>
      <c r="D16" s="62">
        <f>'1.4 -Proy. hormigon 2024 - 2028'!D129</f>
        <v>222.60056997119614</v>
      </c>
      <c r="E16" s="24">
        <f t="shared" si="3"/>
        <v>66.780170991358844</v>
      </c>
      <c r="F16" s="47">
        <f t="shared" si="0"/>
        <v>66780170.991358839</v>
      </c>
      <c r="G16" s="47">
        <f t="shared" si="4"/>
        <v>26712.068396543535</v>
      </c>
      <c r="H16" s="47">
        <f t="shared" si="1"/>
        <v>95400.244273369754</v>
      </c>
      <c r="I16" s="47">
        <f t="shared" si="2"/>
        <v>286200.73282010929</v>
      </c>
      <c r="J16" s="1410"/>
      <c r="K16" s="74">
        <v>1</v>
      </c>
      <c r="L16" s="47">
        <f>I16*$J$5*K16</f>
        <v>4293.0109923016389</v>
      </c>
      <c r="M16" s="1413"/>
      <c r="N16" s="1413"/>
      <c r="O16" s="78">
        <f t="shared" si="6"/>
        <v>429.30109923016391</v>
      </c>
      <c r="P16" s="1399"/>
      <c r="Q16" s="1420"/>
    </row>
    <row r="17" spans="2:23">
      <c r="B17" s="1386">
        <f>'1.4 -Proy. hormigon 2024 - 2028'!B130</f>
        <v>2025</v>
      </c>
      <c r="C17" s="72" t="s">
        <v>53</v>
      </c>
      <c r="D17" s="60">
        <f>'1.4 -Proy. hormigon 2024 - 2028'!D130</f>
        <v>213.57286576694844</v>
      </c>
      <c r="E17" s="25">
        <f t="shared" si="3"/>
        <v>64.071859730084526</v>
      </c>
      <c r="F17" s="1313">
        <f t="shared" si="0"/>
        <v>64071859.730084531</v>
      </c>
      <c r="G17" s="1313">
        <f t="shared" ref="G17:G64" si="7">F17/$T$8</f>
        <v>25628.743892033814</v>
      </c>
      <c r="H17" s="1313">
        <f t="shared" ref="H17:H64" si="8">G17/$T$10</f>
        <v>91531.228185835047</v>
      </c>
      <c r="I17" s="1313">
        <f t="shared" ref="I17:I64" si="9">H17*$T$9*$T$7</f>
        <v>274593.68455750513</v>
      </c>
      <c r="J17" s="1408">
        <f>J5+1.5%</f>
        <v>0.03</v>
      </c>
      <c r="K17" s="75">
        <v>1</v>
      </c>
      <c r="L17" s="1313">
        <f>I17*$J$17*K17</f>
        <v>8237.8105367251537</v>
      </c>
      <c r="M17" s="1411">
        <f>AVERAGE(L17:L28)</f>
        <v>9986.2302445443565</v>
      </c>
      <c r="N17" s="1411">
        <f>SUM(L17:L28)</f>
        <v>119834.76293453228</v>
      </c>
      <c r="O17" s="76">
        <f t="shared" si="6"/>
        <v>823.78105367251533</v>
      </c>
      <c r="P17" s="1421">
        <f>AVERAGE(O17:O28)</f>
        <v>998.62302445443549</v>
      </c>
      <c r="Q17" s="1418">
        <f>SUM(O17:O28)</f>
        <v>11983.476293453226</v>
      </c>
    </row>
    <row r="18" spans="2:23">
      <c r="B18" s="1387"/>
      <c r="C18" s="66" t="s">
        <v>54</v>
      </c>
      <c r="D18" s="57">
        <f>'1.4 -Proy. hormigon 2024 - 2028'!D131</f>
        <v>213.23217564307805</v>
      </c>
      <c r="E18" s="3">
        <f t="shared" si="3"/>
        <v>63.969652692923411</v>
      </c>
      <c r="F18" s="46">
        <f t="shared" si="0"/>
        <v>63969652.692923412</v>
      </c>
      <c r="G18" s="46">
        <f t="shared" si="7"/>
        <v>25587.861077169364</v>
      </c>
      <c r="H18" s="46">
        <f t="shared" si="8"/>
        <v>91385.218132747716</v>
      </c>
      <c r="I18" s="46">
        <f t="shared" si="9"/>
        <v>274155.65439824312</v>
      </c>
      <c r="J18" s="1409"/>
      <c r="K18" s="73">
        <v>1</v>
      </c>
      <c r="L18" s="46">
        <f t="shared" ref="L18:L28" si="10">I18*$J$17*K18</f>
        <v>8224.669631947294</v>
      </c>
      <c r="M18" s="1412"/>
      <c r="N18" s="1412"/>
      <c r="O18" s="77">
        <f t="shared" si="6"/>
        <v>822.46696319472937</v>
      </c>
      <c r="P18" s="1398"/>
      <c r="Q18" s="1419"/>
    </row>
    <row r="19" spans="2:23">
      <c r="B19" s="1387"/>
      <c r="C19" s="66" t="s">
        <v>55</v>
      </c>
      <c r="D19" s="57">
        <f>'1.4 -Proy. hormigon 2024 - 2028'!D132</f>
        <v>251.21140875433019</v>
      </c>
      <c r="E19" s="3">
        <f t="shared" si="3"/>
        <v>75.363422626299055</v>
      </c>
      <c r="F19" s="46">
        <f t="shared" si="0"/>
        <v>75363422.626299053</v>
      </c>
      <c r="G19" s="46">
        <f t="shared" si="7"/>
        <v>30145.369050519621</v>
      </c>
      <c r="H19" s="46">
        <f t="shared" si="8"/>
        <v>107662.03232328435</v>
      </c>
      <c r="I19" s="46">
        <f t="shared" si="9"/>
        <v>322986.09696985304</v>
      </c>
      <c r="J19" s="1409"/>
      <c r="K19" s="73">
        <v>1</v>
      </c>
      <c r="L19" s="46">
        <f t="shared" si="10"/>
        <v>9689.5829090955904</v>
      </c>
      <c r="M19" s="1412"/>
      <c r="N19" s="1412"/>
      <c r="O19" s="77">
        <f t="shared" si="6"/>
        <v>968.95829090955908</v>
      </c>
      <c r="P19" s="1398"/>
      <c r="Q19" s="1419"/>
    </row>
    <row r="20" spans="2:23">
      <c r="B20" s="1387"/>
      <c r="C20" s="66" t="s">
        <v>56</v>
      </c>
      <c r="D20" s="57">
        <f>'1.4 -Proy. hormigon 2024 - 2028'!D133</f>
        <v>238.8452216377774</v>
      </c>
      <c r="E20" s="3">
        <f t="shared" si="3"/>
        <v>71.653566491333223</v>
      </c>
      <c r="F20" s="46">
        <f t="shared" si="0"/>
        <v>71653566.491333231</v>
      </c>
      <c r="G20" s="46">
        <f t="shared" si="7"/>
        <v>28661.426596533292</v>
      </c>
      <c r="H20" s="46">
        <f t="shared" si="8"/>
        <v>102362.23784476175</v>
      </c>
      <c r="I20" s="46">
        <f t="shared" si="9"/>
        <v>307086.71353428526</v>
      </c>
      <c r="J20" s="1409"/>
      <c r="K20" s="73">
        <v>1</v>
      </c>
      <c r="L20" s="46">
        <f t="shared" si="10"/>
        <v>9212.6014060285579</v>
      </c>
      <c r="M20" s="1412"/>
      <c r="N20" s="1412"/>
      <c r="O20" s="77">
        <f t="shared" si="6"/>
        <v>921.26014060285581</v>
      </c>
      <c r="P20" s="1398"/>
      <c r="Q20" s="1419"/>
    </row>
    <row r="21" spans="2:23">
      <c r="B21" s="1387"/>
      <c r="C21" s="66" t="s">
        <v>57</v>
      </c>
      <c r="D21" s="57">
        <f>'1.4 -Proy. hormigon 2024 - 2028'!D134</f>
        <v>248.11011110004821</v>
      </c>
      <c r="E21" s="3">
        <f t="shared" si="3"/>
        <v>74.433033330014467</v>
      </c>
      <c r="F21" s="46">
        <f t="shared" si="0"/>
        <v>74433033.330014467</v>
      </c>
      <c r="G21" s="46">
        <f t="shared" si="7"/>
        <v>29773.213332005787</v>
      </c>
      <c r="H21" s="46">
        <f t="shared" si="8"/>
        <v>106332.90475716352</v>
      </c>
      <c r="I21" s="46">
        <f t="shared" si="9"/>
        <v>318998.71427149052</v>
      </c>
      <c r="J21" s="1409"/>
      <c r="K21" s="73">
        <v>1</v>
      </c>
      <c r="L21" s="46">
        <f t="shared" si="10"/>
        <v>9569.9614281447157</v>
      </c>
      <c r="M21" s="1412"/>
      <c r="N21" s="1412"/>
      <c r="O21" s="77">
        <f t="shared" si="6"/>
        <v>956.99614281447157</v>
      </c>
      <c r="P21" s="1398"/>
      <c r="Q21" s="1419"/>
    </row>
    <row r="22" spans="2:23">
      <c r="B22" s="1387"/>
      <c r="C22" s="66" t="s">
        <v>58</v>
      </c>
      <c r="D22" s="57">
        <f>'1.4 -Proy. hormigon 2024 - 2028'!D135</f>
        <v>276.41002341907813</v>
      </c>
      <c r="E22" s="3">
        <f t="shared" si="3"/>
        <v>82.923007025723436</v>
      </c>
      <c r="F22" s="46">
        <f t="shared" si="0"/>
        <v>82923007.025723428</v>
      </c>
      <c r="G22" s="46">
        <f t="shared" si="7"/>
        <v>33169.202810289375</v>
      </c>
      <c r="H22" s="46">
        <f t="shared" si="8"/>
        <v>118461.43860817632</v>
      </c>
      <c r="I22" s="46">
        <f t="shared" si="9"/>
        <v>355384.31582452898</v>
      </c>
      <c r="J22" s="1409"/>
      <c r="K22" s="73">
        <v>1</v>
      </c>
      <c r="L22" s="46">
        <f t="shared" si="10"/>
        <v>10661.529474735869</v>
      </c>
      <c r="M22" s="1412"/>
      <c r="N22" s="1412"/>
      <c r="O22" s="77">
        <f t="shared" si="6"/>
        <v>1066.1529474735869</v>
      </c>
      <c r="P22" s="1398"/>
      <c r="Q22" s="1419"/>
      <c r="V22" s="103"/>
      <c r="W22" s="103" t="s">
        <v>114</v>
      </c>
    </row>
    <row r="23" spans="2:23">
      <c r="B23" s="1387"/>
      <c r="C23" s="66" t="s">
        <v>59</v>
      </c>
      <c r="D23" s="57">
        <f>'1.4 -Proy. hormigon 2024 - 2028'!D136</f>
        <v>274.66251162363045</v>
      </c>
      <c r="E23" s="3">
        <f t="shared" si="3"/>
        <v>82.398753487089138</v>
      </c>
      <c r="F23" s="46">
        <f t="shared" si="0"/>
        <v>82398753.487089142</v>
      </c>
      <c r="G23" s="46">
        <f t="shared" si="7"/>
        <v>32959.501394835657</v>
      </c>
      <c r="H23" s="46">
        <f t="shared" si="8"/>
        <v>117712.5049815559</v>
      </c>
      <c r="I23" s="46">
        <f t="shared" si="9"/>
        <v>353137.5149446677</v>
      </c>
      <c r="J23" s="1409"/>
      <c r="K23" s="73">
        <v>1</v>
      </c>
      <c r="L23" s="46">
        <f t="shared" si="10"/>
        <v>10594.12544834003</v>
      </c>
      <c r="M23" s="1412"/>
      <c r="N23" s="1412"/>
      <c r="O23" s="77">
        <f t="shared" si="6"/>
        <v>1059.412544834003</v>
      </c>
      <c r="P23" s="1398"/>
      <c r="Q23" s="1419"/>
      <c r="V23" s="103" t="s">
        <v>115</v>
      </c>
      <c r="W23" s="55">
        <v>190118</v>
      </c>
    </row>
    <row r="24" spans="2:23">
      <c r="B24" s="1387"/>
      <c r="C24" s="66" t="s">
        <v>60</v>
      </c>
      <c r="D24" s="57">
        <f>'1.4 -Proy. hormigon 2024 - 2028'!D137</f>
        <v>304.0524057127837</v>
      </c>
      <c r="E24" s="3">
        <f t="shared" si="3"/>
        <v>91.215721713835109</v>
      </c>
      <c r="F24" s="46">
        <f t="shared" si="0"/>
        <v>91215721.713835105</v>
      </c>
      <c r="G24" s="46">
        <f t="shared" si="7"/>
        <v>36486.28868553404</v>
      </c>
      <c r="H24" s="46">
        <f t="shared" si="8"/>
        <v>130308.17387690727</v>
      </c>
      <c r="I24" s="46">
        <f t="shared" si="9"/>
        <v>390924.52163072175</v>
      </c>
      <c r="J24" s="1409"/>
      <c r="K24" s="73">
        <v>1</v>
      </c>
      <c r="L24" s="46">
        <f t="shared" si="10"/>
        <v>11727.735648921653</v>
      </c>
      <c r="M24" s="1412"/>
      <c r="N24" s="1412"/>
      <c r="O24" s="77">
        <f t="shared" si="6"/>
        <v>1172.7735648921653</v>
      </c>
      <c r="P24" s="1398"/>
      <c r="Q24" s="1419"/>
      <c r="V24" s="103" t="s">
        <v>116</v>
      </c>
      <c r="W24" s="55">
        <v>247380</v>
      </c>
    </row>
    <row r="25" spans="2:23">
      <c r="B25" s="1387"/>
      <c r="C25" s="66" t="s">
        <v>61</v>
      </c>
      <c r="D25" s="57">
        <f>'1.4 -Proy. hormigon 2024 - 2028'!D138</f>
        <v>289.19186227336849</v>
      </c>
      <c r="E25" s="3">
        <f t="shared" si="3"/>
        <v>86.75755868201054</v>
      </c>
      <c r="F25" s="46">
        <f t="shared" si="0"/>
        <v>86757558.682010531</v>
      </c>
      <c r="G25" s="46">
        <f t="shared" si="7"/>
        <v>34703.023472804212</v>
      </c>
      <c r="H25" s="46">
        <f t="shared" si="8"/>
        <v>123939.36954572932</v>
      </c>
      <c r="I25" s="46">
        <f t="shared" si="9"/>
        <v>371818.10863718792</v>
      </c>
      <c r="J25" s="1409"/>
      <c r="K25" s="73">
        <v>1</v>
      </c>
      <c r="L25" s="46">
        <f t="shared" si="10"/>
        <v>11154.543259115637</v>
      </c>
      <c r="M25" s="1412"/>
      <c r="N25" s="1412"/>
      <c r="O25" s="77">
        <f t="shared" si="6"/>
        <v>1115.4543259115637</v>
      </c>
      <c r="P25" s="1398"/>
      <c r="Q25" s="1419"/>
    </row>
    <row r="26" spans="2:23">
      <c r="B26" s="1387"/>
      <c r="C26" s="66" t="s">
        <v>62</v>
      </c>
      <c r="D26" s="57">
        <f>'1.4 -Proy. hormigon 2024 - 2028'!D139</f>
        <v>276.2260978288287</v>
      </c>
      <c r="E26" s="3">
        <f t="shared" si="3"/>
        <v>82.867829348648613</v>
      </c>
      <c r="F26" s="46">
        <f t="shared" si="0"/>
        <v>82867829.348648608</v>
      </c>
      <c r="G26" s="46">
        <f t="shared" si="7"/>
        <v>33147.131739459444</v>
      </c>
      <c r="H26" s="46">
        <f t="shared" si="8"/>
        <v>118382.61335521229</v>
      </c>
      <c r="I26" s="46">
        <f t="shared" si="9"/>
        <v>355147.84006563685</v>
      </c>
      <c r="J26" s="1409"/>
      <c r="K26" s="73">
        <v>1</v>
      </c>
      <c r="L26" s="46">
        <f t="shared" si="10"/>
        <v>10654.435201969105</v>
      </c>
      <c r="M26" s="1412"/>
      <c r="N26" s="1412"/>
      <c r="O26" s="77">
        <f t="shared" si="6"/>
        <v>1065.4435201969104</v>
      </c>
      <c r="P26" s="1398"/>
      <c r="Q26" s="1419"/>
    </row>
    <row r="27" spans="2:23">
      <c r="B27" s="1387"/>
      <c r="C27" s="66" t="s">
        <v>63</v>
      </c>
      <c r="D27" s="57">
        <f>'1.4 -Proy. hormigon 2024 - 2028'!D140</f>
        <v>286.74879439573948</v>
      </c>
      <c r="E27" s="3">
        <f t="shared" si="3"/>
        <v>86.024638318721841</v>
      </c>
      <c r="F27" s="46">
        <f t="shared" si="0"/>
        <v>86024638.318721846</v>
      </c>
      <c r="G27" s="46">
        <f t="shared" si="7"/>
        <v>34409.855327488738</v>
      </c>
      <c r="H27" s="46">
        <f t="shared" si="8"/>
        <v>122892.34045531691</v>
      </c>
      <c r="I27" s="46">
        <f t="shared" si="9"/>
        <v>368677.02136595076</v>
      </c>
      <c r="J27" s="1409"/>
      <c r="K27" s="73">
        <v>1</v>
      </c>
      <c r="L27" s="46">
        <f t="shared" si="10"/>
        <v>11060.310640978521</v>
      </c>
      <c r="M27" s="1412"/>
      <c r="N27" s="1412"/>
      <c r="O27" s="77">
        <f t="shared" si="6"/>
        <v>1106.0310640978521</v>
      </c>
      <c r="P27" s="1398"/>
      <c r="Q27" s="1419"/>
    </row>
    <row r="28" spans="2:23" ht="15" thickBot="1">
      <c r="B28" s="1388"/>
      <c r="C28" s="69" t="s">
        <v>64</v>
      </c>
      <c r="D28" s="62">
        <f>'1.4 -Proy. hormigon 2024 - 2028'!D141</f>
        <v>234.56370903596701</v>
      </c>
      <c r="E28" s="24">
        <f t="shared" si="3"/>
        <v>70.369112710790105</v>
      </c>
      <c r="F28" s="47">
        <f t="shared" si="0"/>
        <v>70369112.710790113</v>
      </c>
      <c r="G28" s="47">
        <f t="shared" si="7"/>
        <v>28147.645084316046</v>
      </c>
      <c r="H28" s="47">
        <f t="shared" si="8"/>
        <v>100527.3038725573</v>
      </c>
      <c r="I28" s="47">
        <f t="shared" si="9"/>
        <v>301581.9116176719</v>
      </c>
      <c r="J28" s="1410"/>
      <c r="K28" s="74">
        <v>1</v>
      </c>
      <c r="L28" s="47">
        <f t="shared" si="10"/>
        <v>9047.4573485301571</v>
      </c>
      <c r="M28" s="1413"/>
      <c r="N28" s="1413"/>
      <c r="O28" s="78">
        <f t="shared" si="6"/>
        <v>904.74573485301573</v>
      </c>
      <c r="P28" s="1399"/>
      <c r="Q28" s="1420"/>
    </row>
    <row r="29" spans="2:23">
      <c r="B29" s="1386">
        <f>'1.4 -Proy. hormigon 2024 - 2028'!B142</f>
        <v>2026</v>
      </c>
      <c r="C29" s="72" t="s">
        <v>53</v>
      </c>
      <c r="D29" s="60">
        <f>'1.4 -Proy. hormigon 2024 - 2028'!D142</f>
        <v>224.99965682631168</v>
      </c>
      <c r="E29" s="25">
        <f t="shared" si="3"/>
        <v>67.499897047893498</v>
      </c>
      <c r="F29" s="1313">
        <f t="shared" si="0"/>
        <v>67499897.047893494</v>
      </c>
      <c r="G29" s="1313">
        <f t="shared" si="7"/>
        <v>26999.958819157397</v>
      </c>
      <c r="H29" s="1313">
        <f t="shared" si="8"/>
        <v>96428.424354133545</v>
      </c>
      <c r="I29" s="1313">
        <f t="shared" si="9"/>
        <v>289285.27306240064</v>
      </c>
      <c r="J29" s="1408">
        <f>J17+1.5%</f>
        <v>4.4999999999999998E-2</v>
      </c>
      <c r="K29" s="75">
        <v>1</v>
      </c>
      <c r="L29" s="1313">
        <f>I29*$J$29*K29</f>
        <v>13017.837287808028</v>
      </c>
      <c r="M29" s="1411">
        <f>AVERAGE(L29:L40)</f>
        <v>15760.954760857092</v>
      </c>
      <c r="N29" s="1411">
        <f>SUM(L29:L40)</f>
        <v>189131.4571302851</v>
      </c>
      <c r="O29" s="76">
        <f t="shared" si="6"/>
        <v>1301.7837287808029</v>
      </c>
      <c r="P29" s="1421">
        <f>AVERAGE(O29:O40)</f>
        <v>1576.0954760857094</v>
      </c>
      <c r="Q29" s="1418">
        <f>SUM(O29:O40)</f>
        <v>18913.145713028513</v>
      </c>
    </row>
    <row r="30" spans="2:23">
      <c r="B30" s="1387"/>
      <c r="C30" s="66" t="s">
        <v>54</v>
      </c>
      <c r="D30" s="57">
        <f>'1.4 -Proy. hormigon 2024 - 2028'!D143</f>
        <v>224.59009850100048</v>
      </c>
      <c r="E30" s="3">
        <f t="shared" si="3"/>
        <v>67.377029550300136</v>
      </c>
      <c r="F30" s="46">
        <f t="shared" si="0"/>
        <v>67377029.550300136</v>
      </c>
      <c r="G30" s="46">
        <f t="shared" si="7"/>
        <v>26950.811820120056</v>
      </c>
      <c r="H30" s="46">
        <f t="shared" si="8"/>
        <v>96252.899357571616</v>
      </c>
      <c r="I30" s="46">
        <f t="shared" si="9"/>
        <v>288758.69807271485</v>
      </c>
      <c r="J30" s="1409"/>
      <c r="K30" s="73">
        <v>1</v>
      </c>
      <c r="L30" s="46">
        <f t="shared" ref="L30:L40" si="11">I30*$J$29*K30</f>
        <v>12994.141413272167</v>
      </c>
      <c r="M30" s="1412"/>
      <c r="N30" s="1412"/>
      <c r="O30" s="77">
        <f t="shared" si="6"/>
        <v>1299.4141413272168</v>
      </c>
      <c r="P30" s="1398"/>
      <c r="Q30" s="1419"/>
    </row>
    <row r="31" spans="2:23">
      <c r="B31" s="1387"/>
      <c r="C31" s="66" t="s">
        <v>55</v>
      </c>
      <c r="D31" s="57">
        <f>'1.4 -Proy. hormigon 2024 - 2028'!D144</f>
        <v>264.53318263650527</v>
      </c>
      <c r="E31" s="3">
        <f t="shared" si="3"/>
        <v>79.359954790951576</v>
      </c>
      <c r="F31" s="46">
        <f t="shared" si="0"/>
        <v>79359954.79095158</v>
      </c>
      <c r="G31" s="46">
        <f t="shared" si="7"/>
        <v>31743.981916380631</v>
      </c>
      <c r="H31" s="46">
        <f t="shared" si="8"/>
        <v>113371.36398707367</v>
      </c>
      <c r="I31" s="46">
        <f t="shared" si="9"/>
        <v>340114.09196122101</v>
      </c>
      <c r="J31" s="1409"/>
      <c r="K31" s="73">
        <v>1</v>
      </c>
      <c r="L31" s="46">
        <f t="shared" si="11"/>
        <v>15305.134138254945</v>
      </c>
      <c r="M31" s="1412"/>
      <c r="N31" s="1412"/>
      <c r="O31" s="77">
        <f t="shared" si="6"/>
        <v>1530.5134138254946</v>
      </c>
      <c r="P31" s="1398"/>
      <c r="Q31" s="1419"/>
    </row>
    <row r="32" spans="2:23">
      <c r="B32" s="1387"/>
      <c r="C32" s="66" t="s">
        <v>56</v>
      </c>
      <c r="D32" s="57">
        <f>'1.4 -Proy. hormigon 2024 - 2028'!D145</f>
        <v>251.45548799254613</v>
      </c>
      <c r="E32" s="3">
        <f t="shared" si="3"/>
        <v>75.436646397763838</v>
      </c>
      <c r="F32" s="46">
        <f t="shared" si="0"/>
        <v>75436646.397763833</v>
      </c>
      <c r="G32" s="46">
        <f t="shared" si="7"/>
        <v>30174.658559105534</v>
      </c>
      <c r="H32" s="46">
        <f t="shared" si="8"/>
        <v>107766.63771109119</v>
      </c>
      <c r="I32" s="46">
        <f t="shared" si="9"/>
        <v>323299.91313327354</v>
      </c>
      <c r="J32" s="1409"/>
      <c r="K32" s="73">
        <v>1</v>
      </c>
      <c r="L32" s="46">
        <f t="shared" si="11"/>
        <v>14548.496090997309</v>
      </c>
      <c r="M32" s="1412"/>
      <c r="N32" s="1412"/>
      <c r="O32" s="77">
        <f t="shared" si="6"/>
        <v>1454.849609099731</v>
      </c>
      <c r="P32" s="1398"/>
      <c r="Q32" s="1419"/>
    </row>
    <row r="33" spans="2:17">
      <c r="B33" s="1387"/>
      <c r="C33" s="66" t="s">
        <v>57</v>
      </c>
      <c r="D33" s="57">
        <f>'1.4 -Proy. hormigon 2024 - 2028'!D146</f>
        <v>261.15215256744739</v>
      </c>
      <c r="E33" s="3">
        <f t="shared" si="3"/>
        <v>78.345645770234214</v>
      </c>
      <c r="F33" s="46">
        <f t="shared" si="0"/>
        <v>78345645.770234212</v>
      </c>
      <c r="G33" s="46">
        <f t="shared" si="7"/>
        <v>31338.258308093686</v>
      </c>
      <c r="H33" s="46">
        <f t="shared" si="8"/>
        <v>111922.35110033458</v>
      </c>
      <c r="I33" s="46">
        <f t="shared" si="9"/>
        <v>335767.0533010037</v>
      </c>
      <c r="J33" s="1409"/>
      <c r="K33" s="73">
        <v>1</v>
      </c>
      <c r="L33" s="46">
        <f t="shared" si="11"/>
        <v>15109.517398545166</v>
      </c>
      <c r="M33" s="1412"/>
      <c r="N33" s="1412"/>
      <c r="O33" s="77">
        <f t="shared" si="6"/>
        <v>1510.9517398545165</v>
      </c>
      <c r="P33" s="1398"/>
      <c r="Q33" s="1419"/>
    </row>
    <row r="34" spans="2:17">
      <c r="B34" s="1387"/>
      <c r="C34" s="66" t="s">
        <v>58</v>
      </c>
      <c r="D34" s="57">
        <f>'1.4 -Proy. hormigon 2024 - 2028'!D147</f>
        <v>290.87629605192831</v>
      </c>
      <c r="E34" s="3">
        <f t="shared" si="3"/>
        <v>87.262888815578492</v>
      </c>
      <c r="F34" s="46">
        <f t="shared" si="0"/>
        <v>87262888.81557849</v>
      </c>
      <c r="G34" s="46">
        <f t="shared" si="7"/>
        <v>34905.1555262314</v>
      </c>
      <c r="H34" s="46">
        <f t="shared" si="8"/>
        <v>124661.26973654071</v>
      </c>
      <c r="I34" s="46">
        <f t="shared" si="9"/>
        <v>373983.80920962215</v>
      </c>
      <c r="J34" s="1409"/>
      <c r="K34" s="73">
        <v>1</v>
      </c>
      <c r="L34" s="46">
        <f t="shared" si="11"/>
        <v>16829.271414432995</v>
      </c>
      <c r="M34" s="1412"/>
      <c r="N34" s="1412"/>
      <c r="O34" s="77">
        <f t="shared" si="6"/>
        <v>1682.9271414432994</v>
      </c>
      <c r="P34" s="1398"/>
      <c r="Q34" s="1419"/>
    </row>
    <row r="35" spans="2:17">
      <c r="B35" s="1387"/>
      <c r="C35" s="66" t="s">
        <v>59</v>
      </c>
      <c r="D35" s="57">
        <f>'1.4 -Proy. hormigon 2024 - 2028'!D148</f>
        <v>288.97490453691773</v>
      </c>
      <c r="E35" s="3">
        <f t="shared" si="3"/>
        <v>86.69247136107532</v>
      </c>
      <c r="F35" s="46">
        <f t="shared" si="0"/>
        <v>86692471.361075327</v>
      </c>
      <c r="G35" s="46">
        <f t="shared" si="7"/>
        <v>34676.988544430133</v>
      </c>
      <c r="H35" s="46">
        <f t="shared" si="8"/>
        <v>123846.38765867903</v>
      </c>
      <c r="I35" s="46">
        <f t="shared" si="9"/>
        <v>371539.16297603707</v>
      </c>
      <c r="J35" s="1409"/>
      <c r="K35" s="73">
        <v>1</v>
      </c>
      <c r="L35" s="46">
        <f t="shared" si="11"/>
        <v>16719.262333921666</v>
      </c>
      <c r="M35" s="1412"/>
      <c r="N35" s="1412"/>
      <c r="O35" s="77">
        <f t="shared" si="6"/>
        <v>1671.9262333921665</v>
      </c>
      <c r="P35" s="1398"/>
      <c r="Q35" s="1419"/>
    </row>
    <row r="36" spans="2:17">
      <c r="B36" s="1387"/>
      <c r="C36" s="66" t="s">
        <v>60</v>
      </c>
      <c r="D36" s="57">
        <f>'1.4 -Proy. hormigon 2024 - 2028'!D149</f>
        <v>319.82777381438495</v>
      </c>
      <c r="E36" s="3">
        <f t="shared" si="3"/>
        <v>95.948332144315486</v>
      </c>
      <c r="F36" s="46">
        <f t="shared" si="0"/>
        <v>95948332.144315481</v>
      </c>
      <c r="G36" s="46">
        <f t="shared" si="7"/>
        <v>38379.332857726193</v>
      </c>
      <c r="H36" s="46">
        <f t="shared" si="8"/>
        <v>137069.04592045068</v>
      </c>
      <c r="I36" s="46">
        <f t="shared" si="9"/>
        <v>411207.13776135206</v>
      </c>
      <c r="J36" s="1409"/>
      <c r="K36" s="73">
        <v>1</v>
      </c>
      <c r="L36" s="46">
        <f t="shared" si="11"/>
        <v>18504.321199260841</v>
      </c>
      <c r="M36" s="1412"/>
      <c r="N36" s="1412"/>
      <c r="O36" s="77">
        <f t="shared" si="6"/>
        <v>1850.4321199260842</v>
      </c>
      <c r="P36" s="1398"/>
      <c r="Q36" s="1419"/>
    </row>
    <row r="37" spans="2:17">
      <c r="B37" s="1387"/>
      <c r="C37" s="66" t="s">
        <v>61</v>
      </c>
      <c r="D37" s="57">
        <f>'1.4 -Proy. hormigon 2024 - 2028'!D150</f>
        <v>304.13161602776682</v>
      </c>
      <c r="E37" s="3">
        <f t="shared" si="3"/>
        <v>91.239484808330047</v>
      </c>
      <c r="F37" s="46">
        <f t="shared" si="0"/>
        <v>91239484.808330044</v>
      </c>
      <c r="G37" s="46">
        <f t="shared" si="7"/>
        <v>36495.793923332021</v>
      </c>
      <c r="H37" s="46">
        <f t="shared" si="8"/>
        <v>130342.1211547572</v>
      </c>
      <c r="I37" s="46">
        <f t="shared" si="9"/>
        <v>391026.36346427159</v>
      </c>
      <c r="J37" s="1409"/>
      <c r="K37" s="73">
        <v>1</v>
      </c>
      <c r="L37" s="46">
        <f t="shared" si="11"/>
        <v>17596.18635589222</v>
      </c>
      <c r="M37" s="1412"/>
      <c r="N37" s="1412"/>
      <c r="O37" s="77">
        <f t="shared" si="6"/>
        <v>1759.6186355892219</v>
      </c>
      <c r="P37" s="1398"/>
      <c r="Q37" s="1419"/>
    </row>
    <row r="38" spans="2:17">
      <c r="B38" s="1387"/>
      <c r="C38" s="66" t="s">
        <v>62</v>
      </c>
      <c r="D38" s="57">
        <f>'1.4 -Proy. hormigon 2024 - 2028'!D151</f>
        <v>290.43486644507743</v>
      </c>
      <c r="E38" s="3">
        <f t="shared" si="3"/>
        <v>87.130459933523227</v>
      </c>
      <c r="F38" s="46">
        <f t="shared" si="0"/>
        <v>87130459.933523223</v>
      </c>
      <c r="G38" s="46">
        <f t="shared" si="7"/>
        <v>34852.183973409286</v>
      </c>
      <c r="H38" s="46">
        <f t="shared" si="8"/>
        <v>124472.08561931887</v>
      </c>
      <c r="I38" s="46">
        <f t="shared" si="9"/>
        <v>373416.25685795659</v>
      </c>
      <c r="J38" s="1409"/>
      <c r="K38" s="73">
        <v>1</v>
      </c>
      <c r="L38" s="46">
        <f t="shared" si="11"/>
        <v>16803.731558608044</v>
      </c>
      <c r="M38" s="1412"/>
      <c r="N38" s="1412"/>
      <c r="O38" s="77">
        <f t="shared" si="6"/>
        <v>1680.3731558608044</v>
      </c>
      <c r="P38" s="1398"/>
      <c r="Q38" s="1419"/>
    </row>
    <row r="39" spans="2:17">
      <c r="B39" s="1387"/>
      <c r="C39" s="66" t="s">
        <v>63</v>
      </c>
      <c r="D39" s="57">
        <f>'1.4 -Proy. hormigon 2024 - 2028'!D152</f>
        <v>301.43588171418133</v>
      </c>
      <c r="E39" s="3">
        <f t="shared" si="3"/>
        <v>90.430764514254392</v>
      </c>
      <c r="F39" s="46">
        <f t="shared" si="0"/>
        <v>90430764.514254391</v>
      </c>
      <c r="G39" s="46">
        <f t="shared" si="7"/>
        <v>36172.305805701755</v>
      </c>
      <c r="H39" s="46">
        <f t="shared" si="8"/>
        <v>129186.80644893483</v>
      </c>
      <c r="I39" s="46">
        <f t="shared" si="9"/>
        <v>387560.4193468045</v>
      </c>
      <c r="J39" s="1409"/>
      <c r="K39" s="73">
        <v>1</v>
      </c>
      <c r="L39" s="46">
        <f t="shared" si="11"/>
        <v>17440.218870606201</v>
      </c>
      <c r="M39" s="1412"/>
      <c r="N39" s="1412"/>
      <c r="O39" s="77">
        <f t="shared" si="6"/>
        <v>1744.02188706062</v>
      </c>
      <c r="P39" s="1398"/>
      <c r="Q39" s="1419"/>
    </row>
    <row r="40" spans="2:17" ht="15" thickBot="1">
      <c r="B40" s="1388"/>
      <c r="C40" s="69" t="s">
        <v>64</v>
      </c>
      <c r="D40" s="62">
        <f>'1.4 -Proy. hormigon 2024 - 2028'!D153</f>
        <v>246.52684810073779</v>
      </c>
      <c r="E40" s="24">
        <f t="shared" si="3"/>
        <v>73.958054430221338</v>
      </c>
      <c r="F40" s="47">
        <f t="shared" si="0"/>
        <v>73958054.430221334</v>
      </c>
      <c r="G40" s="47">
        <f t="shared" si="7"/>
        <v>29583.221772088535</v>
      </c>
      <c r="H40" s="47">
        <f t="shared" si="8"/>
        <v>105654.36347174476</v>
      </c>
      <c r="I40" s="47">
        <f t="shared" si="9"/>
        <v>316963.09041523427</v>
      </c>
      <c r="J40" s="1410"/>
      <c r="K40" s="74">
        <v>1</v>
      </c>
      <c r="L40" s="47">
        <f t="shared" si="11"/>
        <v>14263.339068685542</v>
      </c>
      <c r="M40" s="1413"/>
      <c r="N40" s="1413"/>
      <c r="O40" s="78">
        <f t="shared" si="6"/>
        <v>1426.3339068685541</v>
      </c>
      <c r="P40" s="1399"/>
      <c r="Q40" s="1420"/>
    </row>
    <row r="41" spans="2:17">
      <c r="B41" s="1386">
        <f>'1.4 -Proy. hormigon 2024 - 2028'!B154</f>
        <v>2027</v>
      </c>
      <c r="C41" s="72" t="s">
        <v>53</v>
      </c>
      <c r="D41" s="60">
        <f>'1.4 -Proy. hormigon 2024 - 2028'!D154</f>
        <v>236.42644788567497</v>
      </c>
      <c r="E41" s="25">
        <f t="shared" si="3"/>
        <v>70.927934365702484</v>
      </c>
      <c r="F41" s="1313">
        <f t="shared" si="0"/>
        <v>70927934.36570248</v>
      </c>
      <c r="G41" s="1313">
        <f t="shared" si="7"/>
        <v>28371.173746280991</v>
      </c>
      <c r="H41" s="1313">
        <f t="shared" si="8"/>
        <v>101325.6205224321</v>
      </c>
      <c r="I41" s="1313">
        <f t="shared" si="9"/>
        <v>303976.86156729626</v>
      </c>
      <c r="J41" s="1408">
        <f>J29+1.5%</f>
        <v>0.06</v>
      </c>
      <c r="K41" s="75">
        <v>1</v>
      </c>
      <c r="L41" s="1313">
        <f>I41*$J$41*K41</f>
        <v>18238.611694037776</v>
      </c>
      <c r="M41" s="1411">
        <f>AVERAGE(L41:L52)</f>
        <v>22056.752206530207</v>
      </c>
      <c r="N41" s="1411">
        <f>SUM(L41:L52)</f>
        <v>264681.0264783625</v>
      </c>
      <c r="O41" s="76">
        <f t="shared" si="6"/>
        <v>1823.8611694037777</v>
      </c>
      <c r="P41" s="1421">
        <f>AVERAGE(O41:O52)</f>
        <v>2205.6752206530205</v>
      </c>
      <c r="Q41" s="1418">
        <f>SUM(O41:O52)</f>
        <v>26468.102647836244</v>
      </c>
    </row>
    <row r="42" spans="2:17">
      <c r="B42" s="1387"/>
      <c r="C42" s="66" t="s">
        <v>54</v>
      </c>
      <c r="D42" s="57">
        <f>'1.4 -Proy. hormigon 2024 - 2028'!D155</f>
        <v>235.94802135892286</v>
      </c>
      <c r="E42" s="3">
        <f t="shared" si="3"/>
        <v>70.784406407676855</v>
      </c>
      <c r="F42" s="46">
        <f t="shared" si="0"/>
        <v>70784406.407676861</v>
      </c>
      <c r="G42" s="46">
        <f t="shared" si="7"/>
        <v>28313.762563070744</v>
      </c>
      <c r="H42" s="46">
        <f t="shared" si="8"/>
        <v>101120.5805823955</v>
      </c>
      <c r="I42" s="46">
        <f t="shared" si="9"/>
        <v>303361.74174718646</v>
      </c>
      <c r="J42" s="1409"/>
      <c r="K42" s="73">
        <v>1</v>
      </c>
      <c r="L42" s="46">
        <f t="shared" ref="L42:L52" si="12">I42*$J$41*K42</f>
        <v>18201.704504831188</v>
      </c>
      <c r="M42" s="1412"/>
      <c r="N42" s="1412"/>
      <c r="O42" s="77">
        <f t="shared" si="6"/>
        <v>1820.1704504831189</v>
      </c>
      <c r="P42" s="1398"/>
      <c r="Q42" s="1419"/>
    </row>
    <row r="43" spans="2:17">
      <c r="B43" s="1387"/>
      <c r="C43" s="66" t="s">
        <v>55</v>
      </c>
      <c r="D43" s="57">
        <f>'1.4 -Proy. hormigon 2024 - 2028'!D156</f>
        <v>277.85495651868035</v>
      </c>
      <c r="E43" s="3">
        <f t="shared" si="3"/>
        <v>83.356486955604097</v>
      </c>
      <c r="F43" s="46">
        <f t="shared" si="0"/>
        <v>83356486.955604091</v>
      </c>
      <c r="G43" s="46">
        <f t="shared" si="7"/>
        <v>33342.594782241635</v>
      </c>
      <c r="H43" s="46">
        <f t="shared" si="8"/>
        <v>119080.69565086297</v>
      </c>
      <c r="I43" s="46">
        <f t="shared" si="9"/>
        <v>357242.08695258893</v>
      </c>
      <c r="J43" s="1409"/>
      <c r="K43" s="73">
        <v>1</v>
      </c>
      <c r="L43" s="46">
        <f t="shared" si="12"/>
        <v>21434.525217155337</v>
      </c>
      <c r="M43" s="1412"/>
      <c r="N43" s="1412"/>
      <c r="O43" s="77">
        <f t="shared" si="6"/>
        <v>2143.4525217155337</v>
      </c>
      <c r="P43" s="1398"/>
      <c r="Q43" s="1419"/>
    </row>
    <row r="44" spans="2:17">
      <c r="B44" s="1387"/>
      <c r="C44" s="66" t="s">
        <v>56</v>
      </c>
      <c r="D44" s="57">
        <f>'1.4 -Proy. hormigon 2024 - 2028'!D157</f>
        <v>264.06575434731479</v>
      </c>
      <c r="E44" s="3">
        <f t="shared" si="3"/>
        <v>79.219726304194438</v>
      </c>
      <c r="F44" s="46">
        <f t="shared" si="0"/>
        <v>79219726.304194435</v>
      </c>
      <c r="G44" s="46">
        <f t="shared" si="7"/>
        <v>31687.890521677775</v>
      </c>
      <c r="H44" s="46">
        <f t="shared" si="8"/>
        <v>113171.03757742062</v>
      </c>
      <c r="I44" s="46">
        <f t="shared" si="9"/>
        <v>339513.11273226183</v>
      </c>
      <c r="J44" s="1409"/>
      <c r="K44" s="73">
        <v>1</v>
      </c>
      <c r="L44" s="46">
        <f t="shared" si="12"/>
        <v>20370.78676393571</v>
      </c>
      <c r="M44" s="1412"/>
      <c r="N44" s="1412"/>
      <c r="O44" s="77">
        <f t="shared" si="6"/>
        <v>2037.078676393571</v>
      </c>
      <c r="P44" s="1398"/>
      <c r="Q44" s="1419"/>
    </row>
    <row r="45" spans="2:17">
      <c r="B45" s="1387"/>
      <c r="C45" s="66" t="s">
        <v>57</v>
      </c>
      <c r="D45" s="57">
        <f>'1.4 -Proy. hormigon 2024 - 2028'!D158</f>
        <v>274.19419403484659</v>
      </c>
      <c r="E45" s="3">
        <f t="shared" si="3"/>
        <v>82.258258210453974</v>
      </c>
      <c r="F45" s="46">
        <f t="shared" si="0"/>
        <v>82258258.210453972</v>
      </c>
      <c r="G45" s="46">
        <f t="shared" si="7"/>
        <v>32903.303284181588</v>
      </c>
      <c r="H45" s="46">
        <f t="shared" si="8"/>
        <v>117511.79744350565</v>
      </c>
      <c r="I45" s="46">
        <f t="shared" si="9"/>
        <v>352535.39233051694</v>
      </c>
      <c r="J45" s="1409"/>
      <c r="K45" s="73">
        <v>1</v>
      </c>
      <c r="L45" s="46">
        <f t="shared" si="12"/>
        <v>21152.123539831016</v>
      </c>
      <c r="M45" s="1412"/>
      <c r="N45" s="1412"/>
      <c r="O45" s="77">
        <f t="shared" si="6"/>
        <v>2115.2123539831018</v>
      </c>
      <c r="P45" s="1398"/>
      <c r="Q45" s="1419"/>
    </row>
    <row r="46" spans="2:17">
      <c r="B46" s="1387"/>
      <c r="C46" s="66" t="s">
        <v>58</v>
      </c>
      <c r="D46" s="57">
        <f>'1.4 -Proy. hormigon 2024 - 2028'!D159</f>
        <v>305.34256868477837</v>
      </c>
      <c r="E46" s="3">
        <f t="shared" si="3"/>
        <v>91.602770605433506</v>
      </c>
      <c r="F46" s="46">
        <f t="shared" si="0"/>
        <v>91602770.605433494</v>
      </c>
      <c r="G46" s="46">
        <f t="shared" si="7"/>
        <v>36641.108242173395</v>
      </c>
      <c r="H46" s="46">
        <f t="shared" si="8"/>
        <v>130861.10086490498</v>
      </c>
      <c r="I46" s="46">
        <f t="shared" si="9"/>
        <v>392583.30259471491</v>
      </c>
      <c r="J46" s="1409"/>
      <c r="K46" s="73">
        <v>1</v>
      </c>
      <c r="L46" s="46">
        <f t="shared" si="12"/>
        <v>23554.998155682893</v>
      </c>
      <c r="M46" s="1412"/>
      <c r="N46" s="1412"/>
      <c r="O46" s="77">
        <f t="shared" si="6"/>
        <v>2355.4998155682893</v>
      </c>
      <c r="P46" s="1398"/>
      <c r="Q46" s="1419"/>
    </row>
    <row r="47" spans="2:17">
      <c r="B47" s="1387"/>
      <c r="C47" s="66" t="s">
        <v>59</v>
      </c>
      <c r="D47" s="57">
        <f>'1.4 -Proy. hormigon 2024 - 2028'!D160</f>
        <v>303.28729745020513</v>
      </c>
      <c r="E47" s="3">
        <f t="shared" si="3"/>
        <v>90.986189235061531</v>
      </c>
      <c r="F47" s="46">
        <f t="shared" si="0"/>
        <v>90986189.235061526</v>
      </c>
      <c r="G47" s="46">
        <f t="shared" si="7"/>
        <v>36394.475694024608</v>
      </c>
      <c r="H47" s="46">
        <f t="shared" si="8"/>
        <v>129980.27033580215</v>
      </c>
      <c r="I47" s="46">
        <f t="shared" si="9"/>
        <v>389940.81100740645</v>
      </c>
      <c r="J47" s="1409"/>
      <c r="K47" s="73">
        <v>1</v>
      </c>
      <c r="L47" s="46">
        <f t="shared" si="12"/>
        <v>23396.448660444385</v>
      </c>
      <c r="M47" s="1412"/>
      <c r="N47" s="1412"/>
      <c r="O47" s="77">
        <f t="shared" si="6"/>
        <v>2339.6448660444385</v>
      </c>
      <c r="P47" s="1398"/>
      <c r="Q47" s="1419"/>
    </row>
    <row r="48" spans="2:17">
      <c r="B48" s="1387"/>
      <c r="C48" s="66" t="s">
        <v>60</v>
      </c>
      <c r="D48" s="57">
        <f>'1.4 -Proy. hormigon 2024 - 2028'!D161</f>
        <v>335.60314191598633</v>
      </c>
      <c r="E48" s="3">
        <f t="shared" si="3"/>
        <v>100.68094257479589</v>
      </c>
      <c r="F48" s="46">
        <f t="shared" si="0"/>
        <v>100680942.57479589</v>
      </c>
      <c r="G48" s="46">
        <f t="shared" si="7"/>
        <v>40272.377029918352</v>
      </c>
      <c r="H48" s="46">
        <f t="shared" si="8"/>
        <v>143829.91796399411</v>
      </c>
      <c r="I48" s="46">
        <f t="shared" si="9"/>
        <v>431489.75389198231</v>
      </c>
      <c r="J48" s="1409"/>
      <c r="K48" s="73">
        <v>1</v>
      </c>
      <c r="L48" s="46">
        <f t="shared" si="12"/>
        <v>25889.385233518937</v>
      </c>
      <c r="M48" s="1412"/>
      <c r="N48" s="1412"/>
      <c r="O48" s="77">
        <f t="shared" si="6"/>
        <v>2588.9385233518938</v>
      </c>
      <c r="P48" s="1398"/>
      <c r="Q48" s="1419"/>
    </row>
    <row r="49" spans="2:23">
      <c r="B49" s="1387"/>
      <c r="C49" s="66" t="s">
        <v>61</v>
      </c>
      <c r="D49" s="57">
        <f>'1.4 -Proy. hormigon 2024 - 2028'!D162</f>
        <v>319.07136978216516</v>
      </c>
      <c r="E49" s="3">
        <f t="shared" si="3"/>
        <v>95.721410934649541</v>
      </c>
      <c r="F49" s="46">
        <f t="shared" si="0"/>
        <v>95721410.934649542</v>
      </c>
      <c r="G49" s="46">
        <f t="shared" si="7"/>
        <v>38288.564373859816</v>
      </c>
      <c r="H49" s="46">
        <f t="shared" si="8"/>
        <v>136744.87276378504</v>
      </c>
      <c r="I49" s="46">
        <f t="shared" si="9"/>
        <v>410234.61829135515</v>
      </c>
      <c r="J49" s="1409"/>
      <c r="K49" s="73">
        <v>1</v>
      </c>
      <c r="L49" s="46">
        <f t="shared" si="12"/>
        <v>24614.077097481309</v>
      </c>
      <c r="M49" s="1412"/>
      <c r="N49" s="1412"/>
      <c r="O49" s="77">
        <f t="shared" si="6"/>
        <v>2461.4077097481309</v>
      </c>
      <c r="P49" s="1398"/>
      <c r="Q49" s="1419"/>
    </row>
    <row r="50" spans="2:23">
      <c r="B50" s="1387"/>
      <c r="C50" s="66" t="s">
        <v>62</v>
      </c>
      <c r="D50" s="57">
        <f>'1.4 -Proy. hormigon 2024 - 2028'!D163</f>
        <v>304.64363506132622</v>
      </c>
      <c r="E50" s="3">
        <f t="shared" si="3"/>
        <v>91.393090518397869</v>
      </c>
      <c r="F50" s="46">
        <f t="shared" si="0"/>
        <v>91393090.518397883</v>
      </c>
      <c r="G50" s="46">
        <f t="shared" si="7"/>
        <v>36557.23620735915</v>
      </c>
      <c r="H50" s="46">
        <f t="shared" si="8"/>
        <v>130561.55788342553</v>
      </c>
      <c r="I50" s="46">
        <f t="shared" si="9"/>
        <v>391684.67365027656</v>
      </c>
      <c r="J50" s="1409"/>
      <c r="K50" s="73">
        <v>1</v>
      </c>
      <c r="L50" s="46">
        <f t="shared" si="12"/>
        <v>23501.080419016591</v>
      </c>
      <c r="M50" s="1412"/>
      <c r="N50" s="1412"/>
      <c r="O50" s="77">
        <f t="shared" si="6"/>
        <v>2350.1080419016589</v>
      </c>
      <c r="P50" s="1398"/>
      <c r="Q50" s="1419"/>
    </row>
    <row r="51" spans="2:23">
      <c r="B51" s="1387"/>
      <c r="C51" s="66" t="s">
        <v>63</v>
      </c>
      <c r="D51" s="57">
        <f>'1.4 -Proy. hormigon 2024 - 2028'!D164</f>
        <v>316.1229690326233</v>
      </c>
      <c r="E51" s="3">
        <f t="shared" si="3"/>
        <v>94.836890709786985</v>
      </c>
      <c r="F51" s="46">
        <f t="shared" si="0"/>
        <v>94836890.709786981</v>
      </c>
      <c r="G51" s="46">
        <f t="shared" si="7"/>
        <v>37934.756283914794</v>
      </c>
      <c r="H51" s="46">
        <f t="shared" si="8"/>
        <v>135481.27244255281</v>
      </c>
      <c r="I51" s="46">
        <f t="shared" si="9"/>
        <v>406443.81732765847</v>
      </c>
      <c r="J51" s="1409"/>
      <c r="K51" s="73">
        <v>1</v>
      </c>
      <c r="L51" s="46">
        <f t="shared" si="12"/>
        <v>24386.629039659507</v>
      </c>
      <c r="M51" s="1412"/>
      <c r="N51" s="1412"/>
      <c r="O51" s="77">
        <f t="shared" si="6"/>
        <v>2438.6629039659506</v>
      </c>
      <c r="P51" s="1398"/>
      <c r="Q51" s="1419"/>
    </row>
    <row r="52" spans="2:23" ht="15" thickBot="1">
      <c r="B52" s="1388"/>
      <c r="C52" s="69" t="s">
        <v>64</v>
      </c>
      <c r="D52" s="62">
        <f>'1.4 -Proy. hormigon 2024 - 2028'!D165</f>
        <v>258.48998716550864</v>
      </c>
      <c r="E52" s="24">
        <f t="shared" si="3"/>
        <v>77.546996149652585</v>
      </c>
      <c r="F52" s="47">
        <f t="shared" si="0"/>
        <v>77546996.149652585</v>
      </c>
      <c r="G52" s="47">
        <f t="shared" si="7"/>
        <v>31018.798459861035</v>
      </c>
      <c r="H52" s="47">
        <f t="shared" si="8"/>
        <v>110781.42307093226</v>
      </c>
      <c r="I52" s="47">
        <f t="shared" si="9"/>
        <v>332344.26921279676</v>
      </c>
      <c r="J52" s="1410"/>
      <c r="K52" s="74">
        <v>1</v>
      </c>
      <c r="L52" s="47">
        <f t="shared" si="12"/>
        <v>19940.656152767806</v>
      </c>
      <c r="M52" s="1413"/>
      <c r="N52" s="1413"/>
      <c r="O52" s="78">
        <f t="shared" si="6"/>
        <v>1994.0656152767806</v>
      </c>
      <c r="P52" s="1399"/>
      <c r="Q52" s="1420"/>
    </row>
    <row r="53" spans="2:23">
      <c r="B53" s="1386">
        <f>'1.4 -Proy. hormigon 2024 - 2028'!B166</f>
        <v>2028</v>
      </c>
      <c r="C53" s="72" t="s">
        <v>53</v>
      </c>
      <c r="D53" s="60">
        <f>'1.4 -Proy. hormigon 2024 - 2028'!D166</f>
        <v>247.85323894503827</v>
      </c>
      <c r="E53" s="25">
        <f t="shared" si="3"/>
        <v>74.355971683511484</v>
      </c>
      <c r="F53" s="1313">
        <f t="shared" si="0"/>
        <v>74355971.683511481</v>
      </c>
      <c r="G53" s="1313">
        <f t="shared" si="7"/>
        <v>29742.388673404592</v>
      </c>
      <c r="H53" s="1313">
        <f t="shared" si="8"/>
        <v>106222.81669073067</v>
      </c>
      <c r="I53" s="1313">
        <f t="shared" si="9"/>
        <v>318668.450072192</v>
      </c>
      <c r="J53" s="1408">
        <f>J41+1.5%</f>
        <v>7.4999999999999997E-2</v>
      </c>
      <c r="K53" s="75">
        <v>1</v>
      </c>
      <c r="L53" s="1313">
        <f>I53*$J$53*K53</f>
        <v>23900.133755414401</v>
      </c>
      <c r="M53" s="1411">
        <f>AVERAGE(L53:L64)</f>
        <v>28873.622581563686</v>
      </c>
      <c r="N53" s="1411">
        <f>SUM(L53:L64)</f>
        <v>346483.47097876424</v>
      </c>
      <c r="O53" s="76">
        <f t="shared" si="6"/>
        <v>2390.0133755414399</v>
      </c>
      <c r="P53" s="1421">
        <f>AVERAGE(O53:O64)</f>
        <v>2887.3622581563686</v>
      </c>
      <c r="Q53" s="1418">
        <f>SUM(O53:O64)</f>
        <v>34648.347097876424</v>
      </c>
    </row>
    <row r="54" spans="2:23">
      <c r="B54" s="1387"/>
      <c r="C54" s="66" t="s">
        <v>54</v>
      </c>
      <c r="D54" s="57">
        <f>'1.4 -Proy. hormigon 2024 - 2028'!D167</f>
        <v>247.30594421684529</v>
      </c>
      <c r="E54" s="3">
        <f t="shared" si="3"/>
        <v>74.191783265053587</v>
      </c>
      <c r="F54" s="46">
        <f t="shared" si="0"/>
        <v>74191783.265053585</v>
      </c>
      <c r="G54" s="46">
        <f t="shared" si="7"/>
        <v>29676.713306021433</v>
      </c>
      <c r="H54" s="46">
        <f t="shared" si="8"/>
        <v>105988.26180721939</v>
      </c>
      <c r="I54" s="46">
        <f t="shared" si="9"/>
        <v>317964.78542165813</v>
      </c>
      <c r="J54" s="1409"/>
      <c r="K54" s="73">
        <v>1</v>
      </c>
      <c r="L54" s="46">
        <f t="shared" ref="L54:L64" si="13">I54*$J$53*K54</f>
        <v>23847.358906624358</v>
      </c>
      <c r="M54" s="1412"/>
      <c r="N54" s="1412"/>
      <c r="O54" s="77">
        <f t="shared" si="6"/>
        <v>2384.7358906624358</v>
      </c>
      <c r="P54" s="1398"/>
      <c r="Q54" s="1419"/>
    </row>
    <row r="55" spans="2:23">
      <c r="B55" s="1387"/>
      <c r="C55" s="66" t="s">
        <v>55</v>
      </c>
      <c r="D55" s="57">
        <f>'1.4 -Proy. hormigon 2024 - 2028'!D168</f>
        <v>291.17673040085549</v>
      </c>
      <c r="E55" s="3">
        <f t="shared" si="3"/>
        <v>87.353019120256647</v>
      </c>
      <c r="F55" s="46">
        <f t="shared" si="0"/>
        <v>87353019.120256647</v>
      </c>
      <c r="G55" s="46">
        <f t="shared" si="7"/>
        <v>34941.20764810266</v>
      </c>
      <c r="H55" s="46">
        <f t="shared" si="8"/>
        <v>124790.02731465234</v>
      </c>
      <c r="I55" s="46">
        <f t="shared" si="9"/>
        <v>374370.08194395702</v>
      </c>
      <c r="J55" s="1409"/>
      <c r="K55" s="73">
        <v>1</v>
      </c>
      <c r="L55" s="46">
        <f t="shared" si="13"/>
        <v>28077.756145796775</v>
      </c>
      <c r="M55" s="1412"/>
      <c r="N55" s="1412"/>
      <c r="O55" s="77">
        <f t="shared" si="6"/>
        <v>2807.7756145796775</v>
      </c>
      <c r="P55" s="1398"/>
      <c r="Q55" s="1419"/>
    </row>
    <row r="56" spans="2:23" ht="15" thickBot="1">
      <c r="B56" s="1387"/>
      <c r="C56" s="66" t="s">
        <v>56</v>
      </c>
      <c r="D56" s="57">
        <f>'1.4 -Proy. hormigon 2024 - 2028'!D169</f>
        <v>276.67602070208346</v>
      </c>
      <c r="E56" s="3">
        <f t="shared" si="3"/>
        <v>83.002806210625039</v>
      </c>
      <c r="F56" s="46">
        <f t="shared" si="0"/>
        <v>83002806.210625038</v>
      </c>
      <c r="G56" s="46">
        <f t="shared" si="7"/>
        <v>33201.122484250016</v>
      </c>
      <c r="H56" s="46">
        <f t="shared" si="8"/>
        <v>118575.43744375005</v>
      </c>
      <c r="I56" s="46">
        <f t="shared" si="9"/>
        <v>355726.31233125011</v>
      </c>
      <c r="J56" s="1409"/>
      <c r="K56" s="73">
        <v>1</v>
      </c>
      <c r="L56" s="46">
        <f t="shared" si="13"/>
        <v>26679.473424843756</v>
      </c>
      <c r="M56" s="1412"/>
      <c r="N56" s="1412"/>
      <c r="O56" s="77">
        <f t="shared" si="6"/>
        <v>2667.9473424843754</v>
      </c>
      <c r="P56" s="1398"/>
      <c r="Q56" s="1419"/>
    </row>
    <row r="57" spans="2:23">
      <c r="B57" s="1387"/>
      <c r="C57" s="66" t="s">
        <v>57</v>
      </c>
      <c r="D57" s="57">
        <f>'1.4 -Proy. hormigon 2024 - 2028'!D170</f>
        <v>287.23623550224579</v>
      </c>
      <c r="E57" s="3">
        <f t="shared" si="3"/>
        <v>86.170870650673734</v>
      </c>
      <c r="F57" s="46">
        <f t="shared" si="0"/>
        <v>86170870.650673732</v>
      </c>
      <c r="G57" s="46">
        <f t="shared" si="7"/>
        <v>34468.348260269493</v>
      </c>
      <c r="H57" s="46">
        <f t="shared" si="8"/>
        <v>123101.24378667674</v>
      </c>
      <c r="I57" s="46">
        <f t="shared" si="9"/>
        <v>369303.73136003019</v>
      </c>
      <c r="J57" s="1409"/>
      <c r="K57" s="73">
        <v>1</v>
      </c>
      <c r="L57" s="46">
        <f t="shared" si="13"/>
        <v>27697.779852002262</v>
      </c>
      <c r="M57" s="1412"/>
      <c r="N57" s="1412"/>
      <c r="O57" s="77">
        <f t="shared" si="6"/>
        <v>2769.7779852002263</v>
      </c>
      <c r="P57" s="1398"/>
      <c r="Q57" s="1419"/>
      <c r="S57" s="1414" t="s">
        <v>117</v>
      </c>
      <c r="T57" s="1415"/>
      <c r="U57" s="44">
        <f>'1.2 - Superfie autorizadas'!$D$41</f>
        <v>1248138.2333333334</v>
      </c>
      <c r="W57" t="s">
        <v>118</v>
      </c>
    </row>
    <row r="58" spans="2:23" ht="15" thickBot="1">
      <c r="B58" s="1387"/>
      <c r="C58" s="66" t="s">
        <v>58</v>
      </c>
      <c r="D58" s="57">
        <f>'1.4 -Proy. hormigon 2024 - 2028'!D171</f>
        <v>319.80884131762849</v>
      </c>
      <c r="E58" s="3">
        <f t="shared" si="3"/>
        <v>95.942652395288547</v>
      </c>
      <c r="F58" s="46">
        <f t="shared" si="0"/>
        <v>95942652.395288542</v>
      </c>
      <c r="G58" s="46">
        <f t="shared" si="7"/>
        <v>38377.06095811542</v>
      </c>
      <c r="H58" s="46">
        <f t="shared" si="8"/>
        <v>137060.93199326933</v>
      </c>
      <c r="I58" s="46">
        <f t="shared" si="9"/>
        <v>411182.79597980803</v>
      </c>
      <c r="J58" s="1409"/>
      <c r="K58" s="73">
        <v>1</v>
      </c>
      <c r="L58" s="46">
        <f t="shared" si="13"/>
        <v>30838.7096984856</v>
      </c>
      <c r="M58" s="1412"/>
      <c r="N58" s="1412"/>
      <c r="O58" s="77">
        <f t="shared" si="6"/>
        <v>3083.87096984856</v>
      </c>
      <c r="P58" s="1398"/>
      <c r="Q58" s="1419"/>
      <c r="S58" s="1416" t="s">
        <v>117</v>
      </c>
      <c r="T58" s="1417"/>
      <c r="U58" s="43">
        <f>'1.2 - Superfie autorizadas'!$D$80</f>
        <v>163906.27777777778</v>
      </c>
      <c r="W58" t="s">
        <v>119</v>
      </c>
    </row>
    <row r="59" spans="2:23">
      <c r="B59" s="1387"/>
      <c r="C59" s="66" t="s">
        <v>59</v>
      </c>
      <c r="D59" s="57">
        <f>'1.4 -Proy. hormigon 2024 - 2028'!D172</f>
        <v>317.59969036349247</v>
      </c>
      <c r="E59" s="3">
        <f t="shared" si="3"/>
        <v>95.279907109047741</v>
      </c>
      <c r="F59" s="46">
        <f t="shared" si="0"/>
        <v>95279907.109047741</v>
      </c>
      <c r="G59" s="46">
        <f t="shared" si="7"/>
        <v>38111.962843619098</v>
      </c>
      <c r="H59" s="46">
        <f t="shared" si="8"/>
        <v>136114.15301292532</v>
      </c>
      <c r="I59" s="46">
        <f t="shared" si="9"/>
        <v>408342.45903877594</v>
      </c>
      <c r="J59" s="1409"/>
      <c r="K59" s="73">
        <v>1</v>
      </c>
      <c r="L59" s="46">
        <f t="shared" si="13"/>
        <v>30625.684427908192</v>
      </c>
      <c r="M59" s="1412"/>
      <c r="N59" s="1412"/>
      <c r="O59" s="77">
        <f t="shared" si="6"/>
        <v>3062.5684427908191</v>
      </c>
      <c r="P59" s="1398"/>
      <c r="Q59" s="1419"/>
    </row>
    <row r="60" spans="2:23">
      <c r="B60" s="1387"/>
      <c r="C60" s="66" t="s">
        <v>60</v>
      </c>
      <c r="D60" s="57">
        <f>'1.4 -Proy. hormigon 2024 - 2028'!D173</f>
        <v>351.37851001758759</v>
      </c>
      <c r="E60" s="3">
        <f t="shared" si="3"/>
        <v>105.41355300527627</v>
      </c>
      <c r="F60" s="46">
        <f t="shared" si="0"/>
        <v>105413553.00527628</v>
      </c>
      <c r="G60" s="46">
        <f t="shared" si="7"/>
        <v>42165.421202110512</v>
      </c>
      <c r="H60" s="46">
        <f t="shared" si="8"/>
        <v>150590.79000753752</v>
      </c>
      <c r="I60" s="46">
        <f t="shared" si="9"/>
        <v>451772.37002261251</v>
      </c>
      <c r="J60" s="1409"/>
      <c r="K60" s="73">
        <v>1</v>
      </c>
      <c r="L60" s="46">
        <f t="shared" si="13"/>
        <v>33882.927751695934</v>
      </c>
      <c r="M60" s="1412"/>
      <c r="N60" s="1412"/>
      <c r="O60" s="77">
        <f t="shared" si="6"/>
        <v>3388.2927751695934</v>
      </c>
      <c r="P60" s="1398"/>
      <c r="Q60" s="1419"/>
    </row>
    <row r="61" spans="2:23">
      <c r="B61" s="1387"/>
      <c r="C61" s="66" t="s">
        <v>61</v>
      </c>
      <c r="D61" s="57">
        <f>'1.4 -Proy. hormigon 2024 - 2028'!D174</f>
        <v>334.01112353656345</v>
      </c>
      <c r="E61" s="3">
        <f t="shared" si="3"/>
        <v>100.20333706096903</v>
      </c>
      <c r="F61" s="46">
        <f t="shared" si="0"/>
        <v>100203337.06096902</v>
      </c>
      <c r="G61" s="46">
        <f t="shared" si="7"/>
        <v>40081.33482438761</v>
      </c>
      <c r="H61" s="46">
        <f t="shared" si="8"/>
        <v>143147.62437281289</v>
      </c>
      <c r="I61" s="46">
        <f t="shared" si="9"/>
        <v>429442.8731184387</v>
      </c>
      <c r="J61" s="1409"/>
      <c r="K61" s="73">
        <v>1</v>
      </c>
      <c r="L61" s="46">
        <f t="shared" si="13"/>
        <v>32208.215483882901</v>
      </c>
      <c r="M61" s="1412"/>
      <c r="N61" s="1412"/>
      <c r="O61" s="77">
        <f t="shared" si="6"/>
        <v>3220.82154838829</v>
      </c>
      <c r="P61" s="1398"/>
      <c r="Q61" s="1419"/>
    </row>
    <row r="62" spans="2:23">
      <c r="B62" s="1387"/>
      <c r="C62" s="66" t="s">
        <v>62</v>
      </c>
      <c r="D62" s="57">
        <f>'1.4 -Proy. hormigon 2024 - 2028'!D175</f>
        <v>318.85240367757496</v>
      </c>
      <c r="E62" s="3">
        <f t="shared" si="3"/>
        <v>95.655721103272484</v>
      </c>
      <c r="F62" s="46">
        <f t="shared" si="0"/>
        <v>95655721.103272483</v>
      </c>
      <c r="G62" s="46">
        <f t="shared" si="7"/>
        <v>38262.288441308992</v>
      </c>
      <c r="H62" s="46">
        <f t="shared" si="8"/>
        <v>136651.03014753209</v>
      </c>
      <c r="I62" s="46">
        <f t="shared" si="9"/>
        <v>409953.09044259629</v>
      </c>
      <c r="J62" s="1409"/>
      <c r="K62" s="73">
        <v>1</v>
      </c>
      <c r="L62" s="46">
        <f t="shared" si="13"/>
        <v>30746.481783194722</v>
      </c>
      <c r="M62" s="1412"/>
      <c r="N62" s="1412"/>
      <c r="O62" s="77">
        <f t="shared" si="6"/>
        <v>3074.6481783194722</v>
      </c>
      <c r="P62" s="1398"/>
      <c r="Q62" s="1419"/>
    </row>
    <row r="63" spans="2:23">
      <c r="B63" s="1387"/>
      <c r="C63" s="66" t="s">
        <v>63</v>
      </c>
      <c r="D63" s="57">
        <f>'1.4 -Proy. hormigon 2024 - 2028'!D176</f>
        <v>330.81005635106521</v>
      </c>
      <c r="E63" s="3">
        <f t="shared" si="3"/>
        <v>99.243016905319564</v>
      </c>
      <c r="F63" s="46">
        <f t="shared" si="0"/>
        <v>99243016.905319557</v>
      </c>
      <c r="G63" s="46">
        <f t="shared" si="7"/>
        <v>39697.206762127826</v>
      </c>
      <c r="H63" s="46">
        <f t="shared" si="8"/>
        <v>141775.7384361708</v>
      </c>
      <c r="I63" s="46">
        <f t="shared" si="9"/>
        <v>425327.21530851239</v>
      </c>
      <c r="J63" s="1409"/>
      <c r="K63" s="73">
        <v>1</v>
      </c>
      <c r="L63" s="46">
        <f t="shared" si="13"/>
        <v>31899.541148138429</v>
      </c>
      <c r="M63" s="1412"/>
      <c r="N63" s="1412"/>
      <c r="O63" s="77">
        <f t="shared" si="6"/>
        <v>3189.9541148138428</v>
      </c>
      <c r="P63" s="1398"/>
      <c r="Q63" s="1419"/>
    </row>
    <row r="64" spans="2:23" ht="15" thickBot="1">
      <c r="B64" s="1388"/>
      <c r="C64" s="69" t="s">
        <v>64</v>
      </c>
      <c r="D64" s="62">
        <f>'1.4 -Proy. hormigon 2024 - 2028'!D177</f>
        <v>270.45312623027945</v>
      </c>
      <c r="E64" s="24">
        <f t="shared" si="3"/>
        <v>81.135937869083833</v>
      </c>
      <c r="F64" s="47">
        <f t="shared" si="0"/>
        <v>81135937.869083837</v>
      </c>
      <c r="G64" s="47">
        <f t="shared" si="7"/>
        <v>32454.375147633535</v>
      </c>
      <c r="H64" s="47">
        <f t="shared" si="8"/>
        <v>115908.48267011976</v>
      </c>
      <c r="I64" s="47">
        <f t="shared" si="9"/>
        <v>347725.44801035925</v>
      </c>
      <c r="J64" s="1410"/>
      <c r="K64" s="74">
        <v>1</v>
      </c>
      <c r="L64" s="47">
        <f t="shared" si="13"/>
        <v>26079.408600776944</v>
      </c>
      <c r="M64" s="1413"/>
      <c r="N64" s="1413"/>
      <c r="O64" s="78">
        <f t="shared" si="6"/>
        <v>2607.9408600776942</v>
      </c>
      <c r="P64" s="1399"/>
      <c r="Q64" s="1420"/>
    </row>
    <row r="65" spans="17:19">
      <c r="Q65" s="1425"/>
      <c r="S65" s="1293"/>
    </row>
    <row r="66" spans="17:19">
      <c r="Q66" s="1425"/>
    </row>
    <row r="67" spans="17:19">
      <c r="Q67" s="1425"/>
    </row>
    <row r="68" spans="17:19">
      <c r="Q68" s="1425"/>
    </row>
    <row r="69" spans="17:19">
      <c r="Q69" s="1425"/>
    </row>
    <row r="70" spans="17:19">
      <c r="Q70" s="1425"/>
    </row>
    <row r="71" spans="17:19">
      <c r="Q71" s="1425"/>
    </row>
    <row r="72" spans="17:19">
      <c r="Q72" s="1425"/>
    </row>
    <row r="73" spans="17:19">
      <c r="Q73" s="1425"/>
    </row>
    <row r="74" spans="17:19">
      <c r="Q74" s="1425"/>
    </row>
    <row r="75" spans="17:19">
      <c r="Q75" s="1425"/>
    </row>
    <row r="76" spans="17:19">
      <c r="Q76" s="1425"/>
    </row>
    <row r="109" spans="2:8" ht="15" thickBot="1"/>
    <row r="110" spans="2:8" ht="15" thickBot="1">
      <c r="B110" s="1424"/>
      <c r="C110" s="1424"/>
      <c r="D110" s="1422" t="s">
        <v>120</v>
      </c>
      <c r="E110" s="1423"/>
      <c r="F110" s="1422" t="s">
        <v>121</v>
      </c>
      <c r="G110" s="1423"/>
      <c r="H110" s="83"/>
    </row>
    <row r="111" spans="2:8" ht="15" thickBot="1">
      <c r="B111" s="559" t="s">
        <v>122</v>
      </c>
      <c r="C111" s="1312" t="s">
        <v>50</v>
      </c>
      <c r="D111" s="560" t="s">
        <v>123</v>
      </c>
      <c r="E111" s="560" t="s">
        <v>124</v>
      </c>
      <c r="F111" s="560" t="s">
        <v>123</v>
      </c>
      <c r="G111" s="560" t="s">
        <v>124</v>
      </c>
      <c r="H111" s="561" t="s">
        <v>125</v>
      </c>
    </row>
    <row r="112" spans="2:8" ht="15" thickBot="1">
      <c r="B112" s="79">
        <v>1</v>
      </c>
      <c r="C112" s="80">
        <v>2024</v>
      </c>
      <c r="D112" s="81">
        <f>$N$5</f>
        <v>28460.279938539581</v>
      </c>
      <c r="E112" s="81">
        <f>$Q$5</f>
        <v>2846.0279938539579</v>
      </c>
      <c r="F112" s="81">
        <f>$M$5</f>
        <v>2371.6899948782984</v>
      </c>
      <c r="G112" s="81">
        <f>$P$5</f>
        <v>237.16899948782984</v>
      </c>
      <c r="H112" s="82">
        <f>$J$5</f>
        <v>1.4999999999999999E-2</v>
      </c>
    </row>
    <row r="113" spans="2:8" ht="15" thickBot="1">
      <c r="B113" s="79">
        <v>2</v>
      </c>
      <c r="C113" s="80">
        <v>2025</v>
      </c>
      <c r="D113" s="81">
        <f>$N$17</f>
        <v>119834.76293453228</v>
      </c>
      <c r="E113" s="81">
        <f>$Q$17</f>
        <v>11983.476293453226</v>
      </c>
      <c r="F113" s="81">
        <f>$M$17</f>
        <v>9986.2302445443565</v>
      </c>
      <c r="G113" s="81">
        <f>$P$17</f>
        <v>998.62302445443549</v>
      </c>
      <c r="H113" s="82">
        <f>$J$17</f>
        <v>0.03</v>
      </c>
    </row>
    <row r="114" spans="2:8" ht="15" thickBot="1">
      <c r="B114" s="79">
        <v>3</v>
      </c>
      <c r="C114" s="80">
        <v>2026</v>
      </c>
      <c r="D114" s="81">
        <f>$N$29</f>
        <v>189131.4571302851</v>
      </c>
      <c r="E114" s="81">
        <f>$Q$29</f>
        <v>18913.145713028513</v>
      </c>
      <c r="F114" s="81">
        <f>$M$29</f>
        <v>15760.954760857092</v>
      </c>
      <c r="G114" s="81">
        <f>$P$29</f>
        <v>1576.0954760857094</v>
      </c>
      <c r="H114" s="82">
        <f>$J$29</f>
        <v>4.4999999999999998E-2</v>
      </c>
    </row>
    <row r="115" spans="2:8" ht="15" thickBot="1">
      <c r="B115" s="79">
        <v>4</v>
      </c>
      <c r="C115" s="80">
        <v>2027</v>
      </c>
      <c r="D115" s="81">
        <f>$N$41</f>
        <v>264681.0264783625</v>
      </c>
      <c r="E115" s="81">
        <f>$Q$41</f>
        <v>26468.102647836244</v>
      </c>
      <c r="F115" s="81">
        <f>$M$41</f>
        <v>22056.752206530207</v>
      </c>
      <c r="G115" s="81">
        <f>$P$41</f>
        <v>2205.6752206530205</v>
      </c>
      <c r="H115" s="82">
        <f>$J$41</f>
        <v>0.06</v>
      </c>
    </row>
    <row r="116" spans="2:8" ht="15" thickBot="1">
      <c r="B116" s="79">
        <v>5</v>
      </c>
      <c r="C116" s="80">
        <v>2028</v>
      </c>
      <c r="D116" s="81">
        <f>$N$53</f>
        <v>346483.47097876424</v>
      </c>
      <c r="E116" s="81">
        <f>$Q$53</f>
        <v>34648.347097876424</v>
      </c>
      <c r="F116" s="81">
        <f>$M$53</f>
        <v>28873.622581563686</v>
      </c>
      <c r="G116" s="81">
        <f>$P$53</f>
        <v>2887.3622581563686</v>
      </c>
      <c r="H116" s="82">
        <f>$J$53</f>
        <v>7.4999999999999997E-2</v>
      </c>
    </row>
  </sheetData>
  <mergeCells count="38">
    <mergeCell ref="D110:E110"/>
    <mergeCell ref="F110:G110"/>
    <mergeCell ref="B110:C110"/>
    <mergeCell ref="Q65:Q76"/>
    <mergeCell ref="P53:P64"/>
    <mergeCell ref="J53:J64"/>
    <mergeCell ref="B53:B64"/>
    <mergeCell ref="M53:M64"/>
    <mergeCell ref="S58:T58"/>
    <mergeCell ref="N5:N16"/>
    <mergeCell ref="N17:N28"/>
    <mergeCell ref="N29:N40"/>
    <mergeCell ref="N41:N52"/>
    <mergeCell ref="N53:N64"/>
    <mergeCell ref="Q5:Q16"/>
    <mergeCell ref="Q17:Q28"/>
    <mergeCell ref="Q29:Q40"/>
    <mergeCell ref="Q41:Q52"/>
    <mergeCell ref="Q53:Q64"/>
    <mergeCell ref="P5:P16"/>
    <mergeCell ref="P17:P28"/>
    <mergeCell ref="P29:P40"/>
    <mergeCell ref="P41:P52"/>
    <mergeCell ref="M5:M16"/>
    <mergeCell ref="M17:M28"/>
    <mergeCell ref="M29:M40"/>
    <mergeCell ref="M41:M52"/>
    <mergeCell ref="S57:T57"/>
    <mergeCell ref="J5:J16"/>
    <mergeCell ref="J41:J52"/>
    <mergeCell ref="J29:J40"/>
    <mergeCell ref="J17:J28"/>
    <mergeCell ref="B5:B16"/>
    <mergeCell ref="B2:C2"/>
    <mergeCell ref="B4:C4"/>
    <mergeCell ref="B17:B28"/>
    <mergeCell ref="B29:B40"/>
    <mergeCell ref="B41:B52"/>
  </mergeCells>
  <hyperlinks>
    <hyperlink ref="D2" location="Indice!A1" display="INDICE" xr:uid="{00000000-0004-0000-0500-000000000000}"/>
  </hyperlink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B2:O56"/>
  <sheetViews>
    <sheetView showGridLines="0" topLeftCell="A21" zoomScale="85" zoomScaleNormal="85" workbookViewId="0">
      <selection activeCell="E76" sqref="E76"/>
    </sheetView>
  </sheetViews>
  <sheetFormatPr defaultColWidth="11.5703125" defaultRowHeight="14.45"/>
  <cols>
    <col min="1" max="1" width="6" customWidth="1"/>
    <col min="2" max="2" width="22.28515625" customWidth="1"/>
    <col min="3" max="3" width="19.28515625" bestFit="1" customWidth="1"/>
    <col min="4" max="4" width="20.7109375" customWidth="1"/>
    <col min="5" max="5" width="23.5703125" customWidth="1"/>
    <col min="6" max="6" width="15" customWidth="1"/>
  </cols>
  <sheetData>
    <row r="2" spans="2:8">
      <c r="B2" s="1305" t="s">
        <v>126</v>
      </c>
      <c r="C2" s="337" t="s">
        <v>49</v>
      </c>
    </row>
    <row r="3" spans="2:8" ht="15" thickBot="1"/>
    <row r="4" spans="2:8">
      <c r="B4" s="1376" t="s">
        <v>127</v>
      </c>
      <c r="C4" s="104" t="s">
        <v>128</v>
      </c>
      <c r="D4" s="1377" t="s">
        <v>129</v>
      </c>
    </row>
    <row r="5" spans="2:8">
      <c r="B5" s="51" t="s">
        <v>130</v>
      </c>
      <c r="C5" s="212">
        <v>211508</v>
      </c>
      <c r="D5" s="4" t="s">
        <v>131</v>
      </c>
      <c r="H5" s="253"/>
    </row>
    <row r="6" spans="2:8" ht="15" thickBot="1">
      <c r="B6" s="32" t="s">
        <v>132</v>
      </c>
      <c r="C6" s="215">
        <v>15421</v>
      </c>
      <c r="D6" s="5" t="s">
        <v>133</v>
      </c>
      <c r="E6" s="184"/>
    </row>
    <row r="7" spans="2:8" ht="15" thickBot="1"/>
    <row r="8" spans="2:8">
      <c r="B8" s="1438" t="s">
        <v>134</v>
      </c>
      <c r="C8" s="1439"/>
      <c r="D8" s="1358">
        <v>0.28000000000000003</v>
      </c>
      <c r="E8" s="21" t="s">
        <v>135</v>
      </c>
      <c r="H8" s="253"/>
    </row>
    <row r="9" spans="2:8">
      <c r="B9" s="1440" t="s">
        <v>136</v>
      </c>
      <c r="C9" s="1441"/>
      <c r="D9" s="1360">
        <v>26.6</v>
      </c>
      <c r="E9" s="15" t="s">
        <v>137</v>
      </c>
    </row>
    <row r="10" spans="2:8">
      <c r="B10" s="1440" t="s">
        <v>138</v>
      </c>
      <c r="C10" s="1441"/>
      <c r="D10" s="48">
        <v>0.3</v>
      </c>
      <c r="E10" s="15" t="s">
        <v>139</v>
      </c>
    </row>
    <row r="11" spans="2:8" ht="15" thickBot="1">
      <c r="B11" s="1442" t="s">
        <v>140</v>
      </c>
      <c r="C11" s="1443"/>
      <c r="D11" s="49">
        <v>0.23</v>
      </c>
      <c r="E11" s="17" t="s">
        <v>139</v>
      </c>
    </row>
    <row r="13" spans="2:8">
      <c r="B13" t="s">
        <v>141</v>
      </c>
    </row>
    <row r="14" spans="2:8" ht="15" thickBot="1"/>
    <row r="15" spans="2:8" ht="15" thickBot="1">
      <c r="B15" s="1376" t="s">
        <v>127</v>
      </c>
      <c r="C15" s="1377" t="s">
        <v>142</v>
      </c>
      <c r="E15" s="105" t="s">
        <v>143</v>
      </c>
      <c r="F15" s="106"/>
      <c r="G15" s="107"/>
      <c r="H15" s="23">
        <v>10</v>
      </c>
    </row>
    <row r="16" spans="2:8" ht="15" thickBot="1">
      <c r="B16" s="51" t="s">
        <v>144</v>
      </c>
      <c r="C16" s="52">
        <f>C5*D8*D10</f>
        <v>17766.672000000002</v>
      </c>
    </row>
    <row r="17" spans="2:8" ht="15" thickBot="1">
      <c r="B17" s="32" t="s">
        <v>145</v>
      </c>
      <c r="C17" s="53">
        <f>C6*D9*D11</f>
        <v>94345.678000000014</v>
      </c>
      <c r="E17" s="105" t="s">
        <v>146</v>
      </c>
      <c r="F17" s="106"/>
      <c r="G17" s="107"/>
      <c r="H17" s="54">
        <f>C18/H15</f>
        <v>11211.235000000002</v>
      </c>
    </row>
    <row r="18" spans="2:8" ht="15" thickBot="1">
      <c r="B18" s="521" t="s">
        <v>147</v>
      </c>
      <c r="C18" s="522">
        <f>SUM(C16:C17)</f>
        <v>112112.35000000002</v>
      </c>
    </row>
    <row r="20" spans="2:8">
      <c r="B20" t="s">
        <v>148</v>
      </c>
    </row>
    <row r="21" spans="2:8">
      <c r="B21" t="s">
        <v>149</v>
      </c>
    </row>
    <row r="22" spans="2:8" ht="15" thickBot="1"/>
    <row r="23" spans="2:8">
      <c r="B23" s="1376" t="s">
        <v>150</v>
      </c>
      <c r="C23" s="104" t="s">
        <v>128</v>
      </c>
      <c r="D23" s="104" t="s">
        <v>151</v>
      </c>
      <c r="E23" s="104" t="s">
        <v>152</v>
      </c>
      <c r="F23" s="1377" t="s">
        <v>153</v>
      </c>
    </row>
    <row r="24" spans="2:8">
      <c r="B24" s="1359" t="s">
        <v>154</v>
      </c>
      <c r="C24" s="193">
        <v>102408</v>
      </c>
      <c r="D24" s="193">
        <f>C24*1.21</f>
        <v>123913.68</v>
      </c>
      <c r="E24" s="1360">
        <v>8.3000000000000007</v>
      </c>
      <c r="F24" s="228">
        <f>D24/E24</f>
        <v>14929.359036144577</v>
      </c>
    </row>
    <row r="25" spans="2:8" ht="15" thickBot="1">
      <c r="B25" s="1366" t="s">
        <v>155</v>
      </c>
      <c r="C25" s="178">
        <v>81324</v>
      </c>
      <c r="D25" s="178">
        <f>C25*1.21</f>
        <v>98402.04</v>
      </c>
      <c r="E25" s="1367">
        <f>11.1</f>
        <v>11.1</v>
      </c>
      <c r="F25" s="269">
        <f>D25/E25</f>
        <v>8865.0486486486479</v>
      </c>
    </row>
    <row r="26" spans="2:8" ht="15" thickBot="1">
      <c r="B26" s="1305"/>
      <c r="C26" s="268"/>
      <c r="D26" s="268"/>
      <c r="E26" s="234" t="s">
        <v>66</v>
      </c>
      <c r="F26" s="523">
        <f>SUMPRODUCT(E24:E25,F24:F25)/SUM(E24:E25)</f>
        <v>11459.573195876288</v>
      </c>
      <c r="G26" s="194"/>
      <c r="H26" s="194"/>
    </row>
    <row r="27" spans="2:8">
      <c r="B27" s="1305"/>
      <c r="C27" s="268"/>
      <c r="D27" s="268"/>
      <c r="E27" s="68"/>
      <c r="F27" s="268"/>
    </row>
    <row r="28" spans="2:8">
      <c r="B28" t="s">
        <v>156</v>
      </c>
    </row>
    <row r="29" spans="2:8">
      <c r="B29" t="s">
        <v>157</v>
      </c>
    </row>
    <row r="30" spans="2:8" ht="15" thickBot="1"/>
    <row r="31" spans="2:8" ht="15" thickBot="1">
      <c r="B31" s="1444" t="s">
        <v>158</v>
      </c>
      <c r="C31" s="1445"/>
      <c r="D31" s="296">
        <f>F26*0.9</f>
        <v>10313.615876288659</v>
      </c>
      <c r="F31" s="267"/>
    </row>
    <row r="32" spans="2:8">
      <c r="B32" s="1305"/>
      <c r="C32" s="1305"/>
      <c r="D32" s="254"/>
    </row>
    <row r="33" spans="2:10">
      <c r="B33" s="140" t="s">
        <v>159</v>
      </c>
      <c r="C33" s="1305"/>
      <c r="D33" s="254"/>
    </row>
    <row r="34" spans="2:10" ht="15" thickBot="1"/>
    <row r="35" spans="2:10" ht="15" thickBot="1">
      <c r="B35" s="1355" t="s">
        <v>122</v>
      </c>
      <c r="C35" s="1316" t="s">
        <v>50</v>
      </c>
      <c r="D35" s="1316" t="s">
        <v>160</v>
      </c>
      <c r="E35" s="1316" t="s">
        <v>161</v>
      </c>
      <c r="F35" s="1317" t="s">
        <v>162</v>
      </c>
    </row>
    <row r="36" spans="2:10">
      <c r="B36" s="1087">
        <v>1</v>
      </c>
      <c r="C36" s="633">
        <v>2024</v>
      </c>
      <c r="D36" s="1096">
        <f>+D31</f>
        <v>10313.615876288659</v>
      </c>
      <c r="E36" s="873">
        <f>F26</f>
        <v>11459.573195876288</v>
      </c>
      <c r="F36" s="1093">
        <f>(D36-E36)/E36</f>
        <v>-0.10000000000000003</v>
      </c>
    </row>
    <row r="37" spans="2:10">
      <c r="B37" s="264">
        <v>2</v>
      </c>
      <c r="C37" s="262">
        <v>2025</v>
      </c>
      <c r="D37" s="295">
        <f>D36*(1+$J$46)</f>
        <v>10726.160511340206</v>
      </c>
      <c r="E37" s="257">
        <f>$E$36</f>
        <v>11459.573195876288</v>
      </c>
      <c r="F37" s="1091">
        <f>(D37-E37)/E37</f>
        <v>-6.4000000000000001E-2</v>
      </c>
    </row>
    <row r="38" spans="2:10">
      <c r="B38" s="264">
        <v>3</v>
      </c>
      <c r="C38" s="262">
        <v>2026</v>
      </c>
      <c r="D38" s="295">
        <f>D37*(1+$J$46)</f>
        <v>11155.206931793815</v>
      </c>
      <c r="E38" s="257">
        <f>$E$36</f>
        <v>11459.573195876288</v>
      </c>
      <c r="F38" s="1091">
        <f>(D38-E38)/E38</f>
        <v>-2.6559999999999914E-2</v>
      </c>
    </row>
    <row r="39" spans="2:10">
      <c r="B39" s="264">
        <v>4</v>
      </c>
      <c r="C39" s="262">
        <v>2027</v>
      </c>
      <c r="D39" s="295">
        <f>D38*(1+$J$46)</f>
        <v>11601.415209065568</v>
      </c>
      <c r="E39" s="257">
        <f>$E$36</f>
        <v>11459.573195876288</v>
      </c>
      <c r="F39" s="1091">
        <f>(D39-E39)/E39</f>
        <v>1.2377600000000136E-2</v>
      </c>
    </row>
    <row r="40" spans="2:10" ht="15" thickBot="1">
      <c r="B40" s="265">
        <v>5</v>
      </c>
      <c r="C40" s="266">
        <v>2028</v>
      </c>
      <c r="D40" s="297">
        <f>D39*(1+$J$46)</f>
        <v>12065.471817428192</v>
      </c>
      <c r="E40" s="260">
        <f>$E$36</f>
        <v>11459.573195876288</v>
      </c>
      <c r="F40" s="1092">
        <f>(D40-E40)/E40</f>
        <v>5.2872704000000215E-2</v>
      </c>
    </row>
    <row r="42" spans="2:10">
      <c r="B42" s="140" t="s">
        <v>163</v>
      </c>
    </row>
    <row r="43" spans="2:10" ht="15" thickBot="1"/>
    <row r="44" spans="2:10" ht="15" thickBot="1">
      <c r="B44" s="1355" t="s">
        <v>122</v>
      </c>
      <c r="C44" s="1316" t="s">
        <v>50</v>
      </c>
      <c r="D44" s="1316" t="s">
        <v>164</v>
      </c>
      <c r="E44" s="1316" t="s">
        <v>165</v>
      </c>
      <c r="F44" s="1317" t="s">
        <v>162</v>
      </c>
      <c r="I44" s="797" t="s">
        <v>166</v>
      </c>
      <c r="J44" s="989">
        <v>1002.5</v>
      </c>
    </row>
    <row r="45" spans="2:10">
      <c r="B45" s="1087">
        <v>1</v>
      </c>
      <c r="C45" s="633">
        <v>2024</v>
      </c>
      <c r="D45" s="1088">
        <f>D36/J44</f>
        <v>10.287896135948786</v>
      </c>
      <c r="E45" s="1090">
        <f>E36/J44</f>
        <v>11.430995706609764</v>
      </c>
      <c r="F45" s="1093">
        <f>(D45-E45)/E45</f>
        <v>-0.10000000000000009</v>
      </c>
      <c r="I45" s="1094" t="s">
        <v>167</v>
      </c>
      <c r="J45" s="1095">
        <v>2.1999999999999999E-2</v>
      </c>
    </row>
    <row r="46" spans="2:10" ht="15" thickBot="1">
      <c r="B46" s="264">
        <v>2</v>
      </c>
      <c r="C46" s="262">
        <v>2025</v>
      </c>
      <c r="D46" s="918">
        <f>D45*(1+$J$45)*(1+$J$46)</f>
        <v>10.934799044977247</v>
      </c>
      <c r="E46" s="858">
        <f>E45*(1+$J$45)</f>
        <v>11.682477612155179</v>
      </c>
      <c r="F46" s="1091">
        <f>(D46-E46)/E46</f>
        <v>-6.4000000000000029E-2</v>
      </c>
      <c r="I46" s="798" t="s">
        <v>168</v>
      </c>
      <c r="J46" s="810">
        <v>0.04</v>
      </c>
    </row>
    <row r="47" spans="2:10">
      <c r="B47" s="264">
        <v>3</v>
      </c>
      <c r="C47" s="262">
        <v>2026</v>
      </c>
      <c r="D47" s="918">
        <f>D46*(1+$J$45)*(1+$J$46)</f>
        <v>11.622379208925418</v>
      </c>
      <c r="E47" s="858">
        <f>E46*(1+$J$45)</f>
        <v>11.939492119622592</v>
      </c>
      <c r="F47" s="1091">
        <f>(D47-E47)/E47</f>
        <v>-2.6559999999999861E-2</v>
      </c>
    </row>
    <row r="48" spans="2:10">
      <c r="B48" s="264">
        <v>4</v>
      </c>
      <c r="C48" s="262">
        <v>2027</v>
      </c>
      <c r="D48" s="918">
        <f>D47*(1+$J$45)*(1+$J$46)</f>
        <v>12.353194413582649</v>
      </c>
      <c r="E48" s="858">
        <f>E47*(1+$J$45)</f>
        <v>12.20216094625429</v>
      </c>
      <c r="F48" s="1091">
        <f>(D48-E48)/E48</f>
        <v>1.2377600000000164E-2</v>
      </c>
    </row>
    <row r="49" spans="2:15" ht="15" thickBot="1">
      <c r="B49" s="265">
        <v>5</v>
      </c>
      <c r="C49" s="266">
        <v>2028</v>
      </c>
      <c r="D49" s="1089">
        <f>D48*(1+$J$45)*(1+$J$46)</f>
        <v>13.129963278308727</v>
      </c>
      <c r="E49" s="864">
        <f>E48*(1+$J$45)</f>
        <v>12.470608487071885</v>
      </c>
      <c r="F49" s="1092">
        <f>(D49-E49)/E49</f>
        <v>5.2872704000000173E-2</v>
      </c>
    </row>
    <row r="51" spans="2:15">
      <c r="B51" t="s">
        <v>169</v>
      </c>
    </row>
    <row r="52" spans="2:15" ht="15" thickBot="1"/>
    <row r="53" spans="2:15" ht="15" thickBot="1">
      <c r="B53" s="234" t="s">
        <v>127</v>
      </c>
      <c r="C53" s="1435" t="s">
        <v>170</v>
      </c>
      <c r="D53" s="1436"/>
      <c r="E53" s="1436"/>
      <c r="F53" s="1436"/>
      <c r="G53" s="1436"/>
      <c r="H53" s="1436"/>
      <c r="I53" s="1436"/>
      <c r="J53" s="1436"/>
      <c r="K53" s="1436"/>
      <c r="L53" s="1436"/>
      <c r="M53" s="1436"/>
      <c r="N53" s="1436"/>
      <c r="O53" s="1437"/>
    </row>
    <row r="54" spans="2:15">
      <c r="B54" s="273" t="s">
        <v>130</v>
      </c>
      <c r="C54" s="1426" t="s">
        <v>171</v>
      </c>
      <c r="D54" s="1427"/>
      <c r="E54" s="1427"/>
      <c r="F54" s="1427"/>
      <c r="G54" s="1427"/>
      <c r="H54" s="1427"/>
      <c r="I54" s="1427"/>
      <c r="J54" s="1427"/>
      <c r="K54" s="1427"/>
      <c r="L54" s="1427"/>
      <c r="M54" s="1427"/>
      <c r="N54" s="1427"/>
      <c r="O54" s="1428"/>
    </row>
    <row r="55" spans="2:15">
      <c r="B55" s="274" t="s">
        <v>172</v>
      </c>
      <c r="C55" s="1429" t="s">
        <v>173</v>
      </c>
      <c r="D55" s="1430"/>
      <c r="E55" s="1430"/>
      <c r="F55" s="1430"/>
      <c r="G55" s="1430"/>
      <c r="H55" s="1430"/>
      <c r="I55" s="1430"/>
      <c r="J55" s="1430"/>
      <c r="K55" s="1430"/>
      <c r="L55" s="1430"/>
      <c r="M55" s="1430"/>
      <c r="N55" s="1430"/>
      <c r="O55" s="1431"/>
    </row>
    <row r="56" spans="2:15" ht="15" thickBot="1">
      <c r="B56" s="275" t="s">
        <v>174</v>
      </c>
      <c r="C56" s="1432" t="s">
        <v>175</v>
      </c>
      <c r="D56" s="1433"/>
      <c r="E56" s="1433"/>
      <c r="F56" s="1433"/>
      <c r="G56" s="1433"/>
      <c r="H56" s="1433"/>
      <c r="I56" s="1433"/>
      <c r="J56" s="1433"/>
      <c r="K56" s="1433"/>
      <c r="L56" s="1433"/>
      <c r="M56" s="1433"/>
      <c r="N56" s="1433"/>
      <c r="O56" s="1434"/>
    </row>
  </sheetData>
  <mergeCells count="9">
    <mergeCell ref="C54:O54"/>
    <mergeCell ref="C55:O55"/>
    <mergeCell ref="C56:O56"/>
    <mergeCell ref="C53:O53"/>
    <mergeCell ref="B8:C8"/>
    <mergeCell ref="B9:C9"/>
    <mergeCell ref="B10:C10"/>
    <mergeCell ref="B11:C11"/>
    <mergeCell ref="B31:C31"/>
  </mergeCells>
  <hyperlinks>
    <hyperlink ref="C55" r:id="rId1" xr:uid="{00000000-0004-0000-0600-000000000000}"/>
    <hyperlink ref="C2" location="Indice!A1" display="INDICE" xr:uid="{00000000-0004-0000-0600-000001000000}"/>
    <hyperlink ref="C54" r:id="rId2" location="polycard_client=search-nordic&amp;position=2&amp;search_layout=grid&amp;type=item&amp;tracking_id=696575a5-47a8-4760-8fb8-10be2c0c4568" xr:uid="{00000000-0004-0000-0600-000002000000}"/>
    <hyperlink ref="C56" r:id="rId3" xr:uid="{00000000-0004-0000-0600-000003000000}"/>
  </hyperlinks>
  <pageMargins left="0.7" right="0.7" top="0.75" bottom="0.75" header="0.3" footer="0.3"/>
  <pageSetup paperSize="9" orientation="portrait" r:id="rId4"/>
  <drawing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B1:Y39"/>
  <sheetViews>
    <sheetView showGridLines="0" topLeftCell="A15" zoomScale="80" zoomScaleNormal="80" zoomScaleSheetLayoutView="50" workbookViewId="0">
      <selection activeCell="D2" sqref="D2"/>
    </sheetView>
  </sheetViews>
  <sheetFormatPr defaultColWidth="11.5703125" defaultRowHeight="15" customHeight="1"/>
  <cols>
    <col min="1" max="1" width="8.7109375" customWidth="1"/>
    <col min="2" max="2" width="27.7109375" style="134" customWidth="1"/>
    <col min="3" max="3" width="29.7109375" style="134" bestFit="1" customWidth="1"/>
    <col min="4" max="4" width="11.85546875" style="134" bestFit="1" customWidth="1"/>
    <col min="5" max="5" width="14.28515625" style="134" bestFit="1" customWidth="1"/>
    <col min="6" max="6" width="18.42578125" style="134" bestFit="1" customWidth="1"/>
    <col min="7" max="11" width="11.5703125" style="134"/>
    <col min="12" max="12" width="11.5703125" style="122"/>
    <col min="13" max="18" width="11.5703125" style="134"/>
    <col min="19" max="19" width="34.140625" style="134" bestFit="1" customWidth="1"/>
    <col min="20" max="21" width="11.5703125" style="134"/>
    <col min="22" max="22" width="18.42578125" style="134" bestFit="1" customWidth="1"/>
    <col min="23" max="25" width="11.5703125" style="134"/>
  </cols>
  <sheetData>
    <row r="1" spans="2:25" ht="15" customHeight="1">
      <c r="B1" s="41"/>
      <c r="C1" s="41"/>
      <c r="D1" s="41"/>
      <c r="E1" s="41"/>
      <c r="F1" s="41"/>
      <c r="G1" s="41"/>
      <c r="H1" s="41"/>
      <c r="I1" s="41"/>
      <c r="J1" s="41"/>
      <c r="K1" s="41"/>
      <c r="L1" s="1346"/>
      <c r="M1" s="41"/>
      <c r="N1" s="41"/>
      <c r="O1" s="41"/>
      <c r="P1" s="180"/>
      <c r="Q1" s="180"/>
      <c r="R1" s="180"/>
      <c r="S1"/>
      <c r="T1"/>
      <c r="U1"/>
      <c r="V1"/>
      <c r="W1"/>
      <c r="X1"/>
      <c r="Y1"/>
    </row>
    <row r="2" spans="2:25" ht="15" customHeight="1">
      <c r="B2" s="1346" t="s">
        <v>126</v>
      </c>
      <c r="C2" s="338" t="s">
        <v>49</v>
      </c>
      <c r="D2" s="41"/>
      <c r="E2" s="41"/>
      <c r="F2" s="41"/>
      <c r="G2" s="41"/>
      <c r="H2" s="41"/>
      <c r="I2" s="41"/>
      <c r="J2"/>
      <c r="K2"/>
      <c r="L2" s="1305"/>
      <c r="M2"/>
      <c r="N2"/>
      <c r="O2"/>
      <c r="P2"/>
      <c r="Q2"/>
      <c r="R2" s="180"/>
      <c r="S2"/>
      <c r="T2"/>
      <c r="U2"/>
      <c r="V2"/>
      <c r="W2"/>
      <c r="X2"/>
      <c r="Y2"/>
    </row>
    <row r="3" spans="2:25" ht="15" customHeight="1" thickBot="1">
      <c r="B3"/>
      <c r="C3"/>
      <c r="D3"/>
      <c r="E3"/>
      <c r="F3"/>
      <c r="G3"/>
      <c r="H3"/>
      <c r="I3"/>
      <c r="J3"/>
      <c r="K3"/>
      <c r="L3" s="1305"/>
      <c r="M3"/>
      <c r="N3"/>
      <c r="O3"/>
      <c r="P3"/>
      <c r="Q3"/>
      <c r="R3"/>
      <c r="S3"/>
      <c r="T3"/>
      <c r="U3"/>
      <c r="V3"/>
      <c r="W3"/>
      <c r="X3"/>
      <c r="Y3"/>
    </row>
    <row r="4" spans="2:25" ht="25.9" customHeight="1">
      <c r="B4" s="608" t="s">
        <v>176</v>
      </c>
      <c r="C4" s="609" t="s">
        <v>177</v>
      </c>
      <c r="D4" s="609" t="s">
        <v>178</v>
      </c>
      <c r="E4" s="609" t="s">
        <v>179</v>
      </c>
      <c r="F4" s="609" t="s">
        <v>180</v>
      </c>
      <c r="G4" s="609" t="s">
        <v>181</v>
      </c>
      <c r="H4" s="609" t="s">
        <v>182</v>
      </c>
      <c r="I4" s="609" t="s">
        <v>183</v>
      </c>
      <c r="J4" s="609" t="s">
        <v>184</v>
      </c>
      <c r="K4" s="609" t="s">
        <v>185</v>
      </c>
      <c r="L4" s="609" t="s">
        <v>186</v>
      </c>
      <c r="M4" s="609" t="s">
        <v>187</v>
      </c>
      <c r="N4" s="609" t="s">
        <v>188</v>
      </c>
      <c r="O4" s="609" t="s">
        <v>189</v>
      </c>
      <c r="P4" s="609" t="s">
        <v>190</v>
      </c>
      <c r="Q4" s="609" t="s">
        <v>191</v>
      </c>
      <c r="R4" s="609" t="s">
        <v>192</v>
      </c>
      <c r="S4" s="609" t="s">
        <v>193</v>
      </c>
      <c r="T4" s="609" t="s">
        <v>194</v>
      </c>
      <c r="U4" s="609" t="s">
        <v>195</v>
      </c>
      <c r="V4" s="609" t="s">
        <v>196</v>
      </c>
      <c r="W4" s="609" t="s">
        <v>197</v>
      </c>
      <c r="X4" s="609" t="s">
        <v>198</v>
      </c>
      <c r="Y4" s="610" t="s">
        <v>199</v>
      </c>
    </row>
    <row r="5" spans="2:25" ht="15" customHeight="1">
      <c r="B5" s="213">
        <v>1</v>
      </c>
      <c r="C5" s="599" t="s">
        <v>200</v>
      </c>
      <c r="D5" s="186">
        <v>7.3</v>
      </c>
      <c r="E5" s="186">
        <v>8</v>
      </c>
      <c r="F5" s="186">
        <f t="shared" ref="F5:F17" si="0">E5*D5</f>
        <v>58.4</v>
      </c>
      <c r="G5" s="186">
        <v>10</v>
      </c>
      <c r="H5" s="186">
        <v>0.85</v>
      </c>
      <c r="I5" s="186">
        <v>2</v>
      </c>
      <c r="J5" s="186">
        <f t="shared" ref="J5:J17" si="1">G5-H5-I5</f>
        <v>7.15</v>
      </c>
      <c r="K5" s="598">
        <f t="shared" ref="K5:K17" si="2">(D5*E5)/(J5*(D5+E5))</f>
        <v>0.53384523972759257</v>
      </c>
      <c r="L5" s="598">
        <f t="shared" ref="L5:L17" si="3">IF(K5&lt;0.6,0.6,K5)</f>
        <v>0.6</v>
      </c>
      <c r="M5" s="186">
        <v>100</v>
      </c>
      <c r="N5" s="186">
        <v>0.5</v>
      </c>
      <c r="O5" s="186">
        <v>0.5</v>
      </c>
      <c r="P5" s="186">
        <v>0.1</v>
      </c>
      <c r="Q5" s="186">
        <v>0.37</v>
      </c>
      <c r="R5" s="186">
        <v>0.6</v>
      </c>
      <c r="S5" s="599" t="s">
        <v>201</v>
      </c>
      <c r="T5" s="596">
        <f t="shared" ref="T5:T17" si="4">(F5*M5)/(R5*Q5)</f>
        <v>26306.306306306305</v>
      </c>
      <c r="U5" s="186">
        <f>ROUNDUP(T5/D25,0)</f>
        <v>4</v>
      </c>
      <c r="V5" s="186" t="s">
        <v>202</v>
      </c>
      <c r="W5" s="186">
        <v>4</v>
      </c>
      <c r="X5" s="186">
        <v>70</v>
      </c>
      <c r="Y5" s="600">
        <f t="shared" ref="Y5:Y17" si="5">W5*X5</f>
        <v>280</v>
      </c>
    </row>
    <row r="6" spans="2:25" ht="15" customHeight="1">
      <c r="B6" s="213">
        <v>2</v>
      </c>
      <c r="C6" s="599" t="s">
        <v>203</v>
      </c>
      <c r="D6" s="186">
        <v>7.3</v>
      </c>
      <c r="E6" s="186">
        <v>9.6</v>
      </c>
      <c r="F6" s="186">
        <f t="shared" si="0"/>
        <v>70.08</v>
      </c>
      <c r="G6" s="186">
        <v>10</v>
      </c>
      <c r="H6" s="186">
        <v>0.85</v>
      </c>
      <c r="I6" s="186">
        <v>2</v>
      </c>
      <c r="J6" s="186">
        <f t="shared" si="1"/>
        <v>7.15</v>
      </c>
      <c r="K6" s="598">
        <f t="shared" si="2"/>
        <v>0.57996441428394097</v>
      </c>
      <c r="L6" s="598">
        <f t="shared" si="3"/>
        <v>0.6</v>
      </c>
      <c r="M6" s="186">
        <v>100</v>
      </c>
      <c r="N6" s="186">
        <v>0.5</v>
      </c>
      <c r="O6" s="186">
        <v>0.5</v>
      </c>
      <c r="P6" s="186">
        <v>0.1</v>
      </c>
      <c r="Q6" s="186">
        <v>0.37</v>
      </c>
      <c r="R6" s="186">
        <v>0.6</v>
      </c>
      <c r="S6" s="599" t="s">
        <v>201</v>
      </c>
      <c r="T6" s="596">
        <f t="shared" si="4"/>
        <v>31567.567567567567</v>
      </c>
      <c r="U6" s="186">
        <f>ROUNDUP(T6/D25,0)</f>
        <v>5</v>
      </c>
      <c r="V6" s="186" t="s">
        <v>202</v>
      </c>
      <c r="W6" s="186">
        <v>6</v>
      </c>
      <c r="X6" s="186">
        <v>70</v>
      </c>
      <c r="Y6" s="600">
        <f t="shared" si="5"/>
        <v>420</v>
      </c>
    </row>
    <row r="7" spans="2:25" ht="15" customHeight="1">
      <c r="B7" s="213">
        <v>3</v>
      </c>
      <c r="C7" s="599" t="s">
        <v>204</v>
      </c>
      <c r="D7" s="186">
        <v>7.3</v>
      </c>
      <c r="E7" s="186">
        <v>2.5</v>
      </c>
      <c r="F7" s="186">
        <f t="shared" si="0"/>
        <v>18.25</v>
      </c>
      <c r="G7" s="186">
        <v>4</v>
      </c>
      <c r="H7" s="186">
        <v>0.85</v>
      </c>
      <c r="I7" s="186">
        <v>0</v>
      </c>
      <c r="J7" s="186">
        <f t="shared" si="1"/>
        <v>3.15</v>
      </c>
      <c r="K7" s="598">
        <f t="shared" si="2"/>
        <v>0.59118885649497888</v>
      </c>
      <c r="L7" s="598">
        <f t="shared" si="3"/>
        <v>0.6</v>
      </c>
      <c r="M7" s="186">
        <v>100</v>
      </c>
      <c r="N7" s="186">
        <v>0.5</v>
      </c>
      <c r="O7" s="186">
        <v>0.5</v>
      </c>
      <c r="P7" s="186">
        <v>0.1</v>
      </c>
      <c r="Q7" s="186">
        <v>0.37</v>
      </c>
      <c r="R7" s="186">
        <v>0.75</v>
      </c>
      <c r="S7" s="597" t="s">
        <v>205</v>
      </c>
      <c r="T7" s="596">
        <f t="shared" si="4"/>
        <v>6576.5765765765773</v>
      </c>
      <c r="U7" s="595">
        <f>T7/D21</f>
        <v>1.9929019929019931</v>
      </c>
      <c r="V7" s="594" t="s">
        <v>206</v>
      </c>
      <c r="W7" s="594">
        <v>2</v>
      </c>
      <c r="X7" s="594">
        <v>36</v>
      </c>
      <c r="Y7" s="593">
        <f t="shared" si="5"/>
        <v>72</v>
      </c>
    </row>
    <row r="8" spans="2:25" ht="15" customHeight="1">
      <c r="B8" s="213">
        <v>4</v>
      </c>
      <c r="C8" s="599" t="s">
        <v>207</v>
      </c>
      <c r="D8" s="186">
        <v>19.600000000000001</v>
      </c>
      <c r="E8" s="186">
        <v>20.399999999999999</v>
      </c>
      <c r="F8" s="186">
        <f t="shared" si="0"/>
        <v>399.84</v>
      </c>
      <c r="G8" s="186">
        <v>10</v>
      </c>
      <c r="H8" s="186">
        <v>0.85</v>
      </c>
      <c r="I8" s="186">
        <v>2</v>
      </c>
      <c r="J8" s="186">
        <f t="shared" si="1"/>
        <v>7.15</v>
      </c>
      <c r="K8" s="598">
        <f t="shared" si="2"/>
        <v>1.3980419580419579</v>
      </c>
      <c r="L8" s="598">
        <f t="shared" si="3"/>
        <v>1.3980419580419579</v>
      </c>
      <c r="M8" s="186">
        <v>300</v>
      </c>
      <c r="N8" s="186">
        <v>0.5</v>
      </c>
      <c r="O8" s="186">
        <v>0.5</v>
      </c>
      <c r="P8" s="186">
        <v>0.1</v>
      </c>
      <c r="Q8" s="186">
        <v>0.6</v>
      </c>
      <c r="R8" s="186">
        <v>0.6</v>
      </c>
      <c r="S8" s="599" t="s">
        <v>201</v>
      </c>
      <c r="T8" s="596">
        <f t="shared" si="4"/>
        <v>333200</v>
      </c>
      <c r="U8" s="595">
        <f>T8/D24</f>
        <v>20.193939393939395</v>
      </c>
      <c r="V8" s="186" t="s">
        <v>208</v>
      </c>
      <c r="W8" s="186">
        <v>20</v>
      </c>
      <c r="X8" s="186">
        <v>150</v>
      </c>
      <c r="Y8" s="600">
        <f t="shared" si="5"/>
        <v>3000</v>
      </c>
    </row>
    <row r="9" spans="2:25" ht="15" customHeight="1">
      <c r="B9" s="213">
        <v>5</v>
      </c>
      <c r="C9" s="599" t="s">
        <v>209</v>
      </c>
      <c r="D9" s="186">
        <v>4.8</v>
      </c>
      <c r="E9" s="186">
        <v>4.8</v>
      </c>
      <c r="F9" s="186">
        <f t="shared" si="0"/>
        <v>23.04</v>
      </c>
      <c r="G9" s="186">
        <v>4</v>
      </c>
      <c r="H9" s="186">
        <v>0.85</v>
      </c>
      <c r="I9" s="186">
        <v>0</v>
      </c>
      <c r="J9" s="186">
        <f t="shared" si="1"/>
        <v>3.15</v>
      </c>
      <c r="K9" s="598">
        <f t="shared" si="2"/>
        <v>0.76190476190476186</v>
      </c>
      <c r="L9" s="598">
        <f t="shared" si="3"/>
        <v>0.76190476190476186</v>
      </c>
      <c r="M9" s="186">
        <v>200</v>
      </c>
      <c r="N9" s="186">
        <v>0.5</v>
      </c>
      <c r="O9" s="186">
        <v>0.5</v>
      </c>
      <c r="P9" s="186">
        <v>0.1</v>
      </c>
      <c r="Q9" s="186">
        <v>0.37</v>
      </c>
      <c r="R9" s="186">
        <v>0.75</v>
      </c>
      <c r="S9" s="597" t="s">
        <v>205</v>
      </c>
      <c r="T9" s="596">
        <f t="shared" si="4"/>
        <v>16605.405405405407</v>
      </c>
      <c r="U9" s="595">
        <f>T9/D22</f>
        <v>3.7739557739557741</v>
      </c>
      <c r="V9" s="594" t="s">
        <v>210</v>
      </c>
      <c r="W9" s="594">
        <v>4</v>
      </c>
      <c r="X9" s="594">
        <v>50</v>
      </c>
      <c r="Y9" s="593">
        <f t="shared" si="5"/>
        <v>200</v>
      </c>
    </row>
    <row r="10" spans="2:25" ht="15" customHeight="1">
      <c r="B10" s="213">
        <v>6</v>
      </c>
      <c r="C10" s="599" t="s">
        <v>211</v>
      </c>
      <c r="D10" s="186">
        <v>1.1000000000000001</v>
      </c>
      <c r="E10" s="186">
        <v>2.6</v>
      </c>
      <c r="F10" s="186">
        <f t="shared" si="0"/>
        <v>2.8600000000000003</v>
      </c>
      <c r="G10" s="186">
        <v>4</v>
      </c>
      <c r="H10" s="186">
        <v>0.85</v>
      </c>
      <c r="I10" s="186">
        <v>0</v>
      </c>
      <c r="J10" s="186">
        <f t="shared" si="1"/>
        <v>3.15</v>
      </c>
      <c r="K10" s="598">
        <f t="shared" si="2"/>
        <v>0.24538824538824544</v>
      </c>
      <c r="L10" s="598">
        <f t="shared" si="3"/>
        <v>0.6</v>
      </c>
      <c r="M10" s="186">
        <v>100</v>
      </c>
      <c r="N10" s="186">
        <v>0.5</v>
      </c>
      <c r="O10" s="186">
        <v>0.5</v>
      </c>
      <c r="P10" s="186">
        <v>0.1</v>
      </c>
      <c r="Q10" s="186">
        <v>0.37</v>
      </c>
      <c r="R10" s="186">
        <v>0.75</v>
      </c>
      <c r="S10" s="597" t="s">
        <v>205</v>
      </c>
      <c r="T10" s="596">
        <f t="shared" si="4"/>
        <v>1030.630630630631</v>
      </c>
      <c r="U10" s="595">
        <f>1</f>
        <v>1</v>
      </c>
      <c r="V10" s="594" t="s">
        <v>206</v>
      </c>
      <c r="W10" s="594">
        <v>1</v>
      </c>
      <c r="X10" s="594">
        <v>36</v>
      </c>
      <c r="Y10" s="593">
        <f t="shared" si="5"/>
        <v>36</v>
      </c>
    </row>
    <row r="11" spans="2:25" ht="15" customHeight="1">
      <c r="B11" s="213">
        <v>7</v>
      </c>
      <c r="C11" s="599" t="s">
        <v>212</v>
      </c>
      <c r="D11" s="186">
        <v>1.1000000000000001</v>
      </c>
      <c r="E11" s="186">
        <v>2.6</v>
      </c>
      <c r="F11" s="186">
        <f t="shared" si="0"/>
        <v>2.8600000000000003</v>
      </c>
      <c r="G11" s="186">
        <v>4</v>
      </c>
      <c r="H11" s="186">
        <v>0.85</v>
      </c>
      <c r="I11" s="186">
        <v>0</v>
      </c>
      <c r="J11" s="186">
        <f t="shared" si="1"/>
        <v>3.15</v>
      </c>
      <c r="K11" s="598">
        <f t="shared" si="2"/>
        <v>0.24538824538824544</v>
      </c>
      <c r="L11" s="598">
        <f t="shared" si="3"/>
        <v>0.6</v>
      </c>
      <c r="M11" s="186">
        <v>100</v>
      </c>
      <c r="N11" s="186">
        <v>0.5</v>
      </c>
      <c r="O11" s="186">
        <v>0.5</v>
      </c>
      <c r="P11" s="186">
        <v>0.1</v>
      </c>
      <c r="Q11" s="186">
        <v>0.37</v>
      </c>
      <c r="R11" s="186">
        <v>0.75</v>
      </c>
      <c r="S11" s="597" t="s">
        <v>205</v>
      </c>
      <c r="T11" s="596">
        <f t="shared" si="4"/>
        <v>1030.630630630631</v>
      </c>
      <c r="U11" s="595">
        <v>1</v>
      </c>
      <c r="V11" s="594" t="s">
        <v>206</v>
      </c>
      <c r="W11" s="594">
        <v>1</v>
      </c>
      <c r="X11" s="594">
        <v>36</v>
      </c>
      <c r="Y11" s="593">
        <f t="shared" si="5"/>
        <v>36</v>
      </c>
    </row>
    <row r="12" spans="2:25" ht="15" customHeight="1">
      <c r="B12" s="213">
        <v>8</v>
      </c>
      <c r="C12" s="599" t="s">
        <v>213</v>
      </c>
      <c r="D12" s="186">
        <v>2.8</v>
      </c>
      <c r="E12" s="186">
        <v>3.4</v>
      </c>
      <c r="F12" s="186">
        <f t="shared" si="0"/>
        <v>9.52</v>
      </c>
      <c r="G12" s="186">
        <v>4</v>
      </c>
      <c r="H12" s="186">
        <v>0.85</v>
      </c>
      <c r="I12" s="186">
        <v>0</v>
      </c>
      <c r="J12" s="186">
        <f t="shared" si="1"/>
        <v>3.15</v>
      </c>
      <c r="K12" s="598">
        <f t="shared" si="2"/>
        <v>0.48745519713261654</v>
      </c>
      <c r="L12" s="598">
        <f t="shared" si="3"/>
        <v>0.6</v>
      </c>
      <c r="M12" s="186">
        <v>500</v>
      </c>
      <c r="N12" s="186">
        <v>0.5</v>
      </c>
      <c r="O12" s="186">
        <v>0.5</v>
      </c>
      <c r="P12" s="186">
        <v>0.1</v>
      </c>
      <c r="Q12" s="186">
        <v>0.37</v>
      </c>
      <c r="R12" s="186">
        <v>0.75</v>
      </c>
      <c r="S12" s="597" t="s">
        <v>205</v>
      </c>
      <c r="T12" s="596">
        <f t="shared" si="4"/>
        <v>17153.153153153155</v>
      </c>
      <c r="U12" s="595">
        <f>T12/D23</f>
        <v>3.0630630630630633</v>
      </c>
      <c r="V12" s="594" t="s">
        <v>214</v>
      </c>
      <c r="W12" s="594">
        <v>3</v>
      </c>
      <c r="X12" s="594">
        <v>60</v>
      </c>
      <c r="Y12" s="593">
        <f t="shared" si="5"/>
        <v>180</v>
      </c>
    </row>
    <row r="13" spans="2:25" ht="15" customHeight="1">
      <c r="B13" s="213">
        <v>9</v>
      </c>
      <c r="C13" s="599" t="s">
        <v>215</v>
      </c>
      <c r="D13" s="186">
        <v>2.8</v>
      </c>
      <c r="E13" s="186">
        <v>3.4</v>
      </c>
      <c r="F13" s="186">
        <f t="shared" si="0"/>
        <v>9.52</v>
      </c>
      <c r="G13" s="186">
        <v>4</v>
      </c>
      <c r="H13" s="186">
        <v>0.85</v>
      </c>
      <c r="I13" s="186">
        <v>0</v>
      </c>
      <c r="J13" s="186">
        <f t="shared" si="1"/>
        <v>3.15</v>
      </c>
      <c r="K13" s="598">
        <f t="shared" si="2"/>
        <v>0.48745519713261654</v>
      </c>
      <c r="L13" s="598">
        <f t="shared" si="3"/>
        <v>0.6</v>
      </c>
      <c r="M13" s="186">
        <v>500</v>
      </c>
      <c r="N13" s="186">
        <v>0.5</v>
      </c>
      <c r="O13" s="186">
        <v>0.5</v>
      </c>
      <c r="P13" s="186">
        <v>0.1</v>
      </c>
      <c r="Q13" s="186">
        <v>0.37</v>
      </c>
      <c r="R13" s="186">
        <v>0.75</v>
      </c>
      <c r="S13" s="597" t="s">
        <v>205</v>
      </c>
      <c r="T13" s="596">
        <f t="shared" si="4"/>
        <v>17153.153153153155</v>
      </c>
      <c r="U13" s="595">
        <f>T13/D23</f>
        <v>3.0630630630630633</v>
      </c>
      <c r="V13" s="594" t="s">
        <v>214</v>
      </c>
      <c r="W13" s="594">
        <v>3</v>
      </c>
      <c r="X13" s="594">
        <v>60</v>
      </c>
      <c r="Y13" s="593">
        <f t="shared" si="5"/>
        <v>180</v>
      </c>
    </row>
    <row r="14" spans="2:25" ht="15" customHeight="1">
      <c r="B14" s="213">
        <v>10</v>
      </c>
      <c r="C14" s="599" t="s">
        <v>216</v>
      </c>
      <c r="D14" s="186">
        <v>4.0999999999999996</v>
      </c>
      <c r="E14" s="186">
        <v>3.4</v>
      </c>
      <c r="F14" s="186">
        <f t="shared" si="0"/>
        <v>13.939999999999998</v>
      </c>
      <c r="G14" s="186">
        <v>4</v>
      </c>
      <c r="H14" s="186">
        <v>0.85</v>
      </c>
      <c r="I14" s="186">
        <v>0</v>
      </c>
      <c r="J14" s="186">
        <f t="shared" si="1"/>
        <v>3.15</v>
      </c>
      <c r="K14" s="598">
        <f t="shared" si="2"/>
        <v>0.59005291005290994</v>
      </c>
      <c r="L14" s="598">
        <f t="shared" si="3"/>
        <v>0.6</v>
      </c>
      <c r="M14" s="186">
        <v>500</v>
      </c>
      <c r="N14" s="186">
        <v>0.5</v>
      </c>
      <c r="O14" s="186">
        <v>0.5</v>
      </c>
      <c r="P14" s="186">
        <v>0.1</v>
      </c>
      <c r="Q14" s="186">
        <v>0.37</v>
      </c>
      <c r="R14" s="186">
        <v>0.75</v>
      </c>
      <c r="S14" s="597" t="s">
        <v>205</v>
      </c>
      <c r="T14" s="596">
        <f t="shared" si="4"/>
        <v>25117.117117117115</v>
      </c>
      <c r="U14" s="595">
        <f>T14/D23</f>
        <v>4.4851994851994847</v>
      </c>
      <c r="V14" s="594" t="s">
        <v>214</v>
      </c>
      <c r="W14" s="594">
        <v>4</v>
      </c>
      <c r="X14" s="594">
        <v>60</v>
      </c>
      <c r="Y14" s="593">
        <f t="shared" si="5"/>
        <v>240</v>
      </c>
    </row>
    <row r="15" spans="2:25" ht="15" customHeight="1">
      <c r="B15" s="213">
        <v>11</v>
      </c>
      <c r="C15" s="599" t="s">
        <v>217</v>
      </c>
      <c r="D15" s="186">
        <v>12.9</v>
      </c>
      <c r="E15" s="186">
        <v>1.2</v>
      </c>
      <c r="F15" s="186">
        <f t="shared" si="0"/>
        <v>15.48</v>
      </c>
      <c r="G15" s="186">
        <v>4</v>
      </c>
      <c r="H15" s="186">
        <v>0</v>
      </c>
      <c r="I15" s="186">
        <v>0</v>
      </c>
      <c r="J15" s="186">
        <f t="shared" si="1"/>
        <v>4</v>
      </c>
      <c r="K15" s="598">
        <f t="shared" si="2"/>
        <v>0.27446808510638299</v>
      </c>
      <c r="L15" s="598">
        <f t="shared" si="3"/>
        <v>0.6</v>
      </c>
      <c r="M15" s="186">
        <v>200</v>
      </c>
      <c r="N15" s="186">
        <v>0.5</v>
      </c>
      <c r="O15" s="186">
        <v>0.5</v>
      </c>
      <c r="P15" s="186">
        <v>0.1</v>
      </c>
      <c r="Q15" s="186">
        <v>0.37</v>
      </c>
      <c r="R15" s="186">
        <v>0.7</v>
      </c>
      <c r="S15" s="597" t="s">
        <v>205</v>
      </c>
      <c r="T15" s="596">
        <f t="shared" si="4"/>
        <v>11953.667953667953</v>
      </c>
      <c r="U15" s="595">
        <f>T15/D22</f>
        <v>2.7167427167427167</v>
      </c>
      <c r="V15" s="594" t="s">
        <v>210</v>
      </c>
      <c r="W15" s="594">
        <v>3</v>
      </c>
      <c r="X15" s="594">
        <v>50</v>
      </c>
      <c r="Y15" s="593">
        <f t="shared" si="5"/>
        <v>150</v>
      </c>
    </row>
    <row r="16" spans="2:25" ht="15" customHeight="1">
      <c r="B16" s="213">
        <v>12</v>
      </c>
      <c r="C16" s="599" t="s">
        <v>218</v>
      </c>
      <c r="D16" s="186">
        <v>4.5</v>
      </c>
      <c r="E16" s="186">
        <v>4.8</v>
      </c>
      <c r="F16" s="186">
        <f t="shared" si="0"/>
        <v>21.599999999999998</v>
      </c>
      <c r="G16" s="186">
        <v>4</v>
      </c>
      <c r="H16" s="186">
        <v>0.85</v>
      </c>
      <c r="I16" s="186">
        <v>0</v>
      </c>
      <c r="J16" s="186">
        <f t="shared" si="1"/>
        <v>3.15</v>
      </c>
      <c r="K16" s="598">
        <f t="shared" si="2"/>
        <v>0.73732718894009208</v>
      </c>
      <c r="L16" s="598">
        <f t="shared" si="3"/>
        <v>0.73732718894009208</v>
      </c>
      <c r="M16" s="186">
        <v>200</v>
      </c>
      <c r="N16" s="186">
        <v>0.5</v>
      </c>
      <c r="O16" s="186">
        <v>0.5</v>
      </c>
      <c r="P16" s="186">
        <v>0.1</v>
      </c>
      <c r="Q16" s="186">
        <v>0.37</v>
      </c>
      <c r="R16" s="186">
        <v>0.75</v>
      </c>
      <c r="S16" s="597" t="s">
        <v>205</v>
      </c>
      <c r="T16" s="596">
        <f t="shared" si="4"/>
        <v>15567.567567567568</v>
      </c>
      <c r="U16" s="595">
        <f>T16/D21</f>
        <v>4.7174447174447174</v>
      </c>
      <c r="V16" s="594" t="s">
        <v>206</v>
      </c>
      <c r="W16" s="594">
        <v>6</v>
      </c>
      <c r="X16" s="594">
        <v>36</v>
      </c>
      <c r="Y16" s="593">
        <f t="shared" si="5"/>
        <v>216</v>
      </c>
    </row>
    <row r="17" spans="2:25" ht="15" customHeight="1" thickBot="1">
      <c r="B17" s="214">
        <v>13</v>
      </c>
      <c r="C17" s="592" t="s">
        <v>219</v>
      </c>
      <c r="D17" s="208">
        <v>4.8</v>
      </c>
      <c r="E17" s="208">
        <v>4.8</v>
      </c>
      <c r="F17" s="208">
        <f t="shared" si="0"/>
        <v>23.04</v>
      </c>
      <c r="G17" s="208">
        <v>4</v>
      </c>
      <c r="H17" s="208">
        <v>0.85</v>
      </c>
      <c r="I17" s="208">
        <v>0</v>
      </c>
      <c r="J17" s="208">
        <f t="shared" si="1"/>
        <v>3.15</v>
      </c>
      <c r="K17" s="591">
        <f t="shared" si="2"/>
        <v>0.76190476190476186</v>
      </c>
      <c r="L17" s="591">
        <f t="shared" si="3"/>
        <v>0.76190476190476186</v>
      </c>
      <c r="M17" s="208">
        <v>200</v>
      </c>
      <c r="N17" s="208">
        <v>0.5</v>
      </c>
      <c r="O17" s="208">
        <v>0.5</v>
      </c>
      <c r="P17" s="208">
        <v>0.1</v>
      </c>
      <c r="Q17" s="208">
        <v>0.37</v>
      </c>
      <c r="R17" s="208">
        <v>0.6</v>
      </c>
      <c r="S17" s="590" t="s">
        <v>205</v>
      </c>
      <c r="T17" s="589">
        <f t="shared" si="4"/>
        <v>20756.756756756757</v>
      </c>
      <c r="U17" s="588">
        <f>T17/D22</f>
        <v>4.7174447174447174</v>
      </c>
      <c r="V17" s="587" t="s">
        <v>210</v>
      </c>
      <c r="W17" s="587">
        <v>6</v>
      </c>
      <c r="X17" s="587">
        <v>50</v>
      </c>
      <c r="Y17" s="586">
        <f t="shared" si="5"/>
        <v>300</v>
      </c>
    </row>
    <row r="18" spans="2:25" ht="15" customHeight="1" thickBot="1">
      <c r="B18" s="122"/>
      <c r="J18" s="122"/>
      <c r="M18" s="122"/>
      <c r="N18" s="122"/>
      <c r="O18" s="122"/>
      <c r="P18" s="122"/>
      <c r="Q18" s="122"/>
      <c r="R18" s="122"/>
      <c r="X18" s="601" t="s">
        <v>147</v>
      </c>
      <c r="Y18" s="611">
        <f>SUM(Y5:Y17)</f>
        <v>5310</v>
      </c>
    </row>
    <row r="19" spans="2:25" ht="15" customHeight="1" thickBot="1">
      <c r="B19" s="122"/>
      <c r="J19" s="122"/>
      <c r="M19" s="122"/>
      <c r="N19" s="122"/>
      <c r="O19" s="122"/>
      <c r="P19" s="122"/>
      <c r="Q19" s="122"/>
    </row>
    <row r="20" spans="2:25" ht="15" customHeight="1" thickBot="1">
      <c r="B20" s="1446" t="s">
        <v>220</v>
      </c>
      <c r="C20" s="1447"/>
      <c r="D20" s="1447"/>
      <c r="E20" s="1447"/>
      <c r="F20" s="1448"/>
      <c r="J20" s="122"/>
      <c r="M20" s="122"/>
      <c r="N20" s="122"/>
      <c r="O20" s="122"/>
      <c r="P20" s="122"/>
      <c r="Q20" s="122"/>
      <c r="W20" s="122"/>
    </row>
    <row r="21" spans="2:25" ht="15" customHeight="1">
      <c r="B21" s="731">
        <v>1</v>
      </c>
      <c r="C21" s="732" t="s">
        <v>221</v>
      </c>
      <c r="D21" s="733">
        <v>3300</v>
      </c>
      <c r="E21" s="734" t="s">
        <v>222</v>
      </c>
      <c r="F21" s="735" t="s">
        <v>206</v>
      </c>
      <c r="J21" s="122"/>
      <c r="M21" s="122"/>
      <c r="N21" s="122"/>
      <c r="O21" s="122"/>
      <c r="P21" s="122"/>
      <c r="Q21" s="122"/>
      <c r="W21" s="122"/>
    </row>
    <row r="22" spans="2:25" ht="15" customHeight="1">
      <c r="B22" s="602">
        <v>1</v>
      </c>
      <c r="C22" s="597" t="s">
        <v>221</v>
      </c>
      <c r="D22" s="603">
        <v>4400</v>
      </c>
      <c r="E22" s="604" t="s">
        <v>222</v>
      </c>
      <c r="F22" s="593" t="s">
        <v>210</v>
      </c>
      <c r="J22" s="122"/>
      <c r="M22" s="122"/>
      <c r="N22" s="122"/>
      <c r="O22" s="122"/>
      <c r="P22" s="122"/>
      <c r="Q22" s="122"/>
    </row>
    <row r="23" spans="2:25" ht="15" customHeight="1">
      <c r="B23" s="602">
        <v>1</v>
      </c>
      <c r="C23" s="597" t="s">
        <v>221</v>
      </c>
      <c r="D23" s="603">
        <v>5600</v>
      </c>
      <c r="E23" s="604" t="s">
        <v>222</v>
      </c>
      <c r="F23" s="593" t="s">
        <v>214</v>
      </c>
      <c r="J23" s="122"/>
      <c r="M23" s="122"/>
      <c r="N23" s="122"/>
      <c r="O23" s="122"/>
      <c r="P23" s="122"/>
      <c r="Q23" s="122"/>
    </row>
    <row r="24" spans="2:25" ht="15" customHeight="1">
      <c r="B24" s="602">
        <v>1</v>
      </c>
      <c r="C24" s="597" t="s">
        <v>221</v>
      </c>
      <c r="D24" s="603">
        <v>16500</v>
      </c>
      <c r="E24" s="604" t="s">
        <v>222</v>
      </c>
      <c r="F24" s="593" t="s">
        <v>223</v>
      </c>
      <c r="J24" s="122"/>
      <c r="M24" s="122"/>
      <c r="N24" s="122"/>
      <c r="O24" s="122"/>
      <c r="P24" s="122"/>
      <c r="Q24" s="122"/>
    </row>
    <row r="25" spans="2:25" ht="15" customHeight="1" thickBot="1">
      <c r="B25" s="605">
        <v>1</v>
      </c>
      <c r="C25" s="590" t="s">
        <v>221</v>
      </c>
      <c r="D25" s="606">
        <v>6600</v>
      </c>
      <c r="E25" s="607" t="s">
        <v>222</v>
      </c>
      <c r="F25" s="586" t="s">
        <v>202</v>
      </c>
      <c r="J25" s="122"/>
      <c r="M25" s="122"/>
      <c r="N25" s="122"/>
      <c r="O25" s="122"/>
      <c r="P25" s="122"/>
      <c r="Q25" s="122"/>
      <c r="R25" s="122"/>
    </row>
    <row r="26" spans="2:25" ht="15" customHeight="1">
      <c r="B26" s="749"/>
      <c r="C26" s="722"/>
      <c r="D26" s="750"/>
      <c r="E26" s="723"/>
      <c r="F26" s="751"/>
      <c r="J26" s="122"/>
      <c r="M26" s="122"/>
      <c r="N26" s="122"/>
      <c r="O26" s="122"/>
      <c r="P26" s="122"/>
      <c r="Q26" s="122"/>
      <c r="R26" s="122"/>
    </row>
    <row r="27" spans="2:25" ht="15" customHeight="1" thickBot="1"/>
    <row r="28" spans="2:25" ht="15" customHeight="1" thickBot="1">
      <c r="B28" s="1451" t="s">
        <v>224</v>
      </c>
      <c r="C28" s="1452"/>
      <c r="D28" s="1452"/>
      <c r="E28" s="1453"/>
    </row>
    <row r="29" spans="2:25" ht="15" customHeight="1" thickBot="1">
      <c r="B29" s="991" t="s">
        <v>225</v>
      </c>
      <c r="C29" s="992" t="s">
        <v>226</v>
      </c>
      <c r="D29" s="993" t="s">
        <v>227</v>
      </c>
      <c r="E29" s="994" t="s">
        <v>228</v>
      </c>
    </row>
    <row r="30" spans="2:25" ht="15" customHeight="1">
      <c r="B30" s="727" t="s">
        <v>206</v>
      </c>
      <c r="C30" s="728">
        <v>22816</v>
      </c>
      <c r="D30" s="729">
        <v>10</v>
      </c>
      <c r="E30" s="1041">
        <f>C30*D30</f>
        <v>228160</v>
      </c>
    </row>
    <row r="31" spans="2:25" ht="15" customHeight="1">
      <c r="B31" s="724" t="s">
        <v>210</v>
      </c>
      <c r="C31" s="725">
        <v>30910</v>
      </c>
      <c r="D31" s="599">
        <v>13</v>
      </c>
      <c r="E31" s="1042">
        <f t="shared" ref="E31:E36" si="6">C31*D31</f>
        <v>401830</v>
      </c>
    </row>
    <row r="32" spans="2:25" ht="15" customHeight="1">
      <c r="B32" s="724" t="s">
        <v>214</v>
      </c>
      <c r="C32" s="725">
        <v>33300</v>
      </c>
      <c r="D32" s="599">
        <v>10</v>
      </c>
      <c r="E32" s="1042">
        <f t="shared" si="6"/>
        <v>333000</v>
      </c>
    </row>
    <row r="33" spans="2:5" ht="15" customHeight="1">
      <c r="B33" s="724" t="s">
        <v>223</v>
      </c>
      <c r="C33" s="725">
        <v>41600</v>
      </c>
      <c r="D33" s="599">
        <v>20</v>
      </c>
      <c r="E33" s="1042">
        <f t="shared" si="6"/>
        <v>832000</v>
      </c>
    </row>
    <row r="34" spans="2:5" ht="15" customHeight="1">
      <c r="B34" s="724" t="s">
        <v>202</v>
      </c>
      <c r="C34" s="725">
        <v>24600</v>
      </c>
      <c r="D34" s="599">
        <v>10</v>
      </c>
      <c r="E34" s="1042">
        <f t="shared" si="6"/>
        <v>246000</v>
      </c>
    </row>
    <row r="35" spans="2:5" ht="15" customHeight="1">
      <c r="B35" s="724" t="s">
        <v>229</v>
      </c>
      <c r="C35" s="725">
        <v>39245</v>
      </c>
      <c r="D35" s="599">
        <v>33</v>
      </c>
      <c r="E35" s="1042">
        <f t="shared" si="6"/>
        <v>1295085</v>
      </c>
    </row>
    <row r="36" spans="2:5" ht="15" customHeight="1" thickBot="1">
      <c r="B36" s="995" t="s">
        <v>230</v>
      </c>
      <c r="C36" s="996">
        <v>55775</v>
      </c>
      <c r="D36" s="592">
        <v>30</v>
      </c>
      <c r="E36" s="1043">
        <f t="shared" si="6"/>
        <v>1673250</v>
      </c>
    </row>
    <row r="37" spans="2:5" ht="15" customHeight="1">
      <c r="B37" s="1449" t="s">
        <v>147</v>
      </c>
      <c r="C37" s="1450"/>
      <c r="D37" s="1450"/>
      <c r="E37" s="1045">
        <f>SUM(E30:E36)</f>
        <v>5009325</v>
      </c>
    </row>
    <row r="38" spans="2:5" ht="15" customHeight="1">
      <c r="B38" s="1454" t="s">
        <v>231</v>
      </c>
      <c r="C38" s="1455"/>
      <c r="D38" s="1455"/>
      <c r="E38" s="1042">
        <v>1002.5</v>
      </c>
    </row>
    <row r="39" spans="2:5" ht="15" customHeight="1" thickBot="1">
      <c r="B39" s="1456" t="s">
        <v>232</v>
      </c>
      <c r="C39" s="1457"/>
      <c r="D39" s="1457"/>
      <c r="E39" s="1044">
        <f>E37/E38</f>
        <v>4996.8329177057358</v>
      </c>
    </row>
  </sheetData>
  <mergeCells count="5">
    <mergeCell ref="B20:F20"/>
    <mergeCell ref="B37:D37"/>
    <mergeCell ref="B28:E28"/>
    <mergeCell ref="B38:D38"/>
    <mergeCell ref="B39:D39"/>
  </mergeCells>
  <hyperlinks>
    <hyperlink ref="C2" location="Indice!A1" display="INICIO" xr:uid="{00000000-0004-0000-0700-000000000000}"/>
  </hyperlink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B1:Y115"/>
  <sheetViews>
    <sheetView showGridLines="0" topLeftCell="A23" zoomScale="80" zoomScaleNormal="80" zoomScaleSheetLayoutView="50" workbookViewId="0">
      <selection activeCell="C2" sqref="C2"/>
    </sheetView>
  </sheetViews>
  <sheetFormatPr defaultColWidth="11.5703125" defaultRowHeight="15" customHeight="1"/>
  <cols>
    <col min="1" max="1" width="8.7109375" customWidth="1"/>
    <col min="2" max="2" width="27.7109375" style="134" customWidth="1"/>
    <col min="3" max="3" width="29.7109375" style="134" bestFit="1" customWidth="1"/>
    <col min="4" max="4" width="17.7109375" style="134" bestFit="1" customWidth="1"/>
    <col min="5" max="5" width="19.42578125" style="134" bestFit="1" customWidth="1"/>
    <col min="6" max="6" width="18.42578125" style="134" bestFit="1" customWidth="1"/>
    <col min="7" max="8" width="13.85546875" style="134" bestFit="1" customWidth="1"/>
    <col min="9" max="9" width="17.28515625" style="134" bestFit="1" customWidth="1"/>
    <col min="10" max="11" width="11.5703125" style="134"/>
    <col min="12" max="12" width="11.5703125" style="122"/>
    <col min="13" max="13" width="17.28515625" style="134" bestFit="1" customWidth="1"/>
    <col min="14" max="18" width="11.5703125" style="134"/>
    <col min="19" max="19" width="34.140625" style="134" bestFit="1" customWidth="1"/>
    <col min="20" max="21" width="11.5703125" style="134"/>
    <col min="22" max="22" width="18.42578125" style="134" bestFit="1" customWidth="1"/>
    <col min="23" max="25" width="11.5703125" style="134"/>
  </cols>
  <sheetData>
    <row r="1" spans="2:25" ht="15" customHeight="1">
      <c r="B1" s="41"/>
      <c r="C1" s="41"/>
      <c r="D1" s="41"/>
      <c r="E1" s="41"/>
      <c r="F1" s="41"/>
      <c r="G1" s="41"/>
      <c r="H1" s="41"/>
      <c r="I1" s="41"/>
      <c r="J1" s="41"/>
      <c r="K1" s="41"/>
      <c r="L1" s="1346"/>
      <c r="M1" s="41"/>
      <c r="N1" s="41"/>
      <c r="O1" s="41"/>
      <c r="P1" s="180"/>
      <c r="Q1" s="180"/>
      <c r="R1" s="180"/>
      <c r="S1"/>
      <c r="T1"/>
      <c r="U1"/>
      <c r="V1"/>
      <c r="W1"/>
      <c r="X1"/>
      <c r="Y1"/>
    </row>
    <row r="2" spans="2:25" ht="15" customHeight="1">
      <c r="B2" s="1346" t="s">
        <v>126</v>
      </c>
      <c r="C2" s="338" t="s">
        <v>49</v>
      </c>
      <c r="D2" s="41"/>
      <c r="E2" s="41"/>
      <c r="F2" s="41"/>
      <c r="G2" s="41"/>
      <c r="H2" s="41"/>
      <c r="I2" s="41"/>
      <c r="J2"/>
      <c r="K2"/>
      <c r="L2" s="1305"/>
      <c r="M2"/>
      <c r="N2"/>
      <c r="O2"/>
      <c r="P2"/>
      <c r="Q2"/>
      <c r="R2" s="180"/>
      <c r="S2"/>
      <c r="T2"/>
      <c r="U2"/>
      <c r="V2"/>
      <c r="W2"/>
      <c r="X2"/>
      <c r="Y2"/>
    </row>
    <row r="3" spans="2:25" ht="15" customHeight="1">
      <c r="B3" s="1346"/>
      <c r="C3" s="338"/>
      <c r="D3" s="41"/>
      <c r="E3" s="41"/>
      <c r="F3" s="41"/>
      <c r="G3" s="41"/>
      <c r="H3" s="41"/>
      <c r="I3" s="41"/>
      <c r="J3"/>
      <c r="K3"/>
      <c r="L3" s="1305"/>
      <c r="M3"/>
      <c r="N3"/>
      <c r="O3"/>
      <c r="P3"/>
      <c r="Q3"/>
      <c r="R3" s="180"/>
      <c r="S3"/>
      <c r="T3"/>
      <c r="U3"/>
      <c r="V3"/>
      <c r="W3"/>
      <c r="X3"/>
      <c r="Y3"/>
    </row>
    <row r="4" spans="2:25" s="614" customFormat="1" ht="28.9" customHeight="1">
      <c r="B4" s="1468" t="s">
        <v>233</v>
      </c>
      <c r="C4" s="1468"/>
      <c r="D4" s="1468"/>
      <c r="E4" s="1468"/>
      <c r="F4" s="623"/>
      <c r="G4" s="623"/>
      <c r="H4" s="623"/>
      <c r="I4" s="623"/>
      <c r="L4" s="617"/>
      <c r="R4" s="624"/>
    </row>
    <row r="5" spans="2:25" ht="15" customHeight="1" thickBot="1">
      <c r="B5" s="1346"/>
      <c r="C5" s="338"/>
      <c r="D5" s="41"/>
      <c r="E5" s="41"/>
      <c r="F5" s="41"/>
      <c r="G5" s="41"/>
      <c r="H5" s="41"/>
      <c r="I5" s="41"/>
      <c r="J5"/>
      <c r="K5"/>
      <c r="L5" s="1305"/>
      <c r="M5"/>
      <c r="N5"/>
      <c r="O5"/>
      <c r="P5"/>
      <c r="Q5"/>
      <c r="R5" s="180"/>
      <c r="S5"/>
      <c r="T5"/>
      <c r="U5"/>
      <c r="V5"/>
      <c r="W5"/>
      <c r="X5"/>
      <c r="Y5"/>
    </row>
    <row r="6" spans="2:25" ht="19.899999999999999" customHeight="1" thickBot="1">
      <c r="B6" s="1391" t="s">
        <v>234</v>
      </c>
      <c r="C6" s="1392"/>
      <c r="D6" s="1392"/>
      <c r="E6" s="1392"/>
      <c r="F6" s="1392"/>
      <c r="G6" s="1392"/>
      <c r="H6" s="1392"/>
      <c r="I6" s="1392"/>
      <c r="J6" s="1392"/>
      <c r="K6" s="1392"/>
      <c r="L6" s="1392"/>
      <c r="M6" s="1393"/>
      <c r="N6"/>
      <c r="O6"/>
      <c r="P6"/>
      <c r="Q6"/>
      <c r="R6"/>
      <c r="S6"/>
      <c r="T6"/>
      <c r="U6"/>
      <c r="V6"/>
      <c r="W6"/>
      <c r="X6"/>
      <c r="Y6"/>
    </row>
    <row r="7" spans="2:25" ht="19.899999999999999" customHeight="1" thickBot="1">
      <c r="B7" s="621" t="s">
        <v>176</v>
      </c>
      <c r="C7" s="1321" t="s">
        <v>235</v>
      </c>
      <c r="D7" s="1321" t="s">
        <v>236</v>
      </c>
      <c r="E7" s="1321" t="s">
        <v>237</v>
      </c>
      <c r="F7" s="1484" t="s">
        <v>238</v>
      </c>
      <c r="G7" s="1484"/>
      <c r="H7" s="1321" t="s">
        <v>227</v>
      </c>
      <c r="I7" s="1321" t="s">
        <v>239</v>
      </c>
      <c r="J7" s="1321" t="s">
        <v>240</v>
      </c>
      <c r="K7" s="1321" t="s">
        <v>241</v>
      </c>
      <c r="L7" s="1321" t="s">
        <v>242</v>
      </c>
      <c r="M7" s="622" t="s">
        <v>243</v>
      </c>
    </row>
    <row r="8" spans="2:25" ht="15" customHeight="1">
      <c r="B8" s="1479" t="s">
        <v>244</v>
      </c>
      <c r="C8" s="131" t="s">
        <v>245</v>
      </c>
      <c r="D8" s="131" t="s">
        <v>246</v>
      </c>
      <c r="E8" s="131" t="s">
        <v>246</v>
      </c>
      <c r="F8" s="131">
        <v>0.85</v>
      </c>
      <c r="G8" s="131">
        <v>2.1</v>
      </c>
      <c r="H8" s="131">
        <v>1</v>
      </c>
      <c r="I8" s="131">
        <f t="shared" ref="I8:I36" si="0">F8*G8</f>
        <v>1.7849999999999999</v>
      </c>
      <c r="J8" s="131">
        <v>3.2</v>
      </c>
      <c r="K8" s="131">
        <v>10</v>
      </c>
      <c r="L8" s="131">
        <f>I8*J8*K8*H8</f>
        <v>57.12</v>
      </c>
      <c r="M8" s="1482">
        <f>SUM(L8:L14)</f>
        <v>1204.68</v>
      </c>
    </row>
    <row r="9" spans="2:25" ht="15" customHeight="1">
      <c r="B9" s="1480"/>
      <c r="C9" s="1360" t="s">
        <v>195</v>
      </c>
      <c r="D9" s="1360" t="s">
        <v>247</v>
      </c>
      <c r="E9" s="1360" t="s">
        <v>248</v>
      </c>
      <c r="F9" s="1360">
        <v>1.5</v>
      </c>
      <c r="G9" s="1360">
        <v>1.5</v>
      </c>
      <c r="H9" s="1360">
        <v>1</v>
      </c>
      <c r="I9" s="1360">
        <f t="shared" si="0"/>
        <v>2.25</v>
      </c>
      <c r="J9" s="1360">
        <v>6</v>
      </c>
      <c r="K9" s="1360">
        <v>10</v>
      </c>
      <c r="L9" s="1360">
        <f t="shared" ref="L9:L14" si="1">I9*J9*K9*H9</f>
        <v>135</v>
      </c>
      <c r="M9" s="1404"/>
    </row>
    <row r="10" spans="2:25" ht="15" customHeight="1">
      <c r="B10" s="1480"/>
      <c r="C10" s="1307" t="s">
        <v>249</v>
      </c>
      <c r="D10" s="1360" t="s">
        <v>250</v>
      </c>
      <c r="E10" s="1360" t="s">
        <v>251</v>
      </c>
      <c r="F10" s="1360">
        <v>2.8</v>
      </c>
      <c r="G10" s="1360">
        <v>3.4</v>
      </c>
      <c r="H10" s="1360">
        <v>1</v>
      </c>
      <c r="I10" s="1360">
        <f t="shared" si="0"/>
        <v>9.52</v>
      </c>
      <c r="J10" s="1360">
        <v>2.2999999999999998</v>
      </c>
      <c r="K10" s="1360">
        <v>10</v>
      </c>
      <c r="L10" s="1360">
        <f t="shared" si="1"/>
        <v>218.95999999999998</v>
      </c>
      <c r="M10" s="1404"/>
    </row>
    <row r="11" spans="2:25" ht="15" customHeight="1">
      <c r="B11" s="1480"/>
      <c r="C11" s="1360" t="s">
        <v>195</v>
      </c>
      <c r="D11" s="1360" t="s">
        <v>252</v>
      </c>
      <c r="E11" s="1360" t="s">
        <v>253</v>
      </c>
      <c r="F11" s="1360">
        <v>2.8</v>
      </c>
      <c r="G11" s="1360">
        <v>4</v>
      </c>
      <c r="H11" s="1360">
        <v>1</v>
      </c>
      <c r="I11" s="1360">
        <f t="shared" si="0"/>
        <v>11.2</v>
      </c>
      <c r="J11" s="1360">
        <v>1.6</v>
      </c>
      <c r="K11" s="1360">
        <v>10</v>
      </c>
      <c r="L11" s="1360">
        <f t="shared" si="1"/>
        <v>179.2</v>
      </c>
      <c r="M11" s="1404"/>
    </row>
    <row r="12" spans="2:25" ht="15" customHeight="1">
      <c r="B12" s="1480"/>
      <c r="C12" s="1360" t="s">
        <v>254</v>
      </c>
      <c r="D12" s="1360" t="s">
        <v>252</v>
      </c>
      <c r="E12" s="1360" t="s">
        <v>253</v>
      </c>
      <c r="F12" s="1360">
        <v>3.4</v>
      </c>
      <c r="G12" s="1360">
        <v>4</v>
      </c>
      <c r="H12" s="1360">
        <v>1</v>
      </c>
      <c r="I12" s="1360">
        <f t="shared" si="0"/>
        <v>13.6</v>
      </c>
      <c r="J12" s="1360">
        <v>1.6</v>
      </c>
      <c r="K12" s="1360">
        <v>10</v>
      </c>
      <c r="L12" s="1360">
        <f t="shared" si="1"/>
        <v>217.60000000000002</v>
      </c>
      <c r="M12" s="1404"/>
    </row>
    <row r="13" spans="2:25" ht="15" customHeight="1">
      <c r="B13" s="1480"/>
      <c r="C13" s="1360" t="s">
        <v>255</v>
      </c>
      <c r="D13" s="1360" t="s">
        <v>252</v>
      </c>
      <c r="E13" s="1360" t="s">
        <v>253</v>
      </c>
      <c r="F13" s="1360">
        <v>3.4</v>
      </c>
      <c r="G13" s="1360">
        <v>4</v>
      </c>
      <c r="H13" s="1360">
        <v>1</v>
      </c>
      <c r="I13" s="1360">
        <f t="shared" si="0"/>
        <v>13.6</v>
      </c>
      <c r="J13" s="1360">
        <v>1.6</v>
      </c>
      <c r="K13" s="1360">
        <v>10</v>
      </c>
      <c r="L13" s="1360">
        <f t="shared" si="1"/>
        <v>217.60000000000002</v>
      </c>
      <c r="M13" s="1404"/>
    </row>
    <row r="14" spans="2:25" ht="15" customHeight="1" thickBot="1">
      <c r="B14" s="1481"/>
      <c r="C14" s="1367" t="s">
        <v>245</v>
      </c>
      <c r="D14" s="1367" t="s">
        <v>252</v>
      </c>
      <c r="E14" s="1367" t="s">
        <v>253</v>
      </c>
      <c r="F14" s="1367">
        <v>2.8</v>
      </c>
      <c r="G14" s="1367">
        <v>4</v>
      </c>
      <c r="H14" s="1367">
        <v>1</v>
      </c>
      <c r="I14" s="1367">
        <f t="shared" si="0"/>
        <v>11.2</v>
      </c>
      <c r="J14" s="1367">
        <v>1.6</v>
      </c>
      <c r="K14" s="1367">
        <v>10</v>
      </c>
      <c r="L14" s="1367">
        <f t="shared" si="1"/>
        <v>179.2</v>
      </c>
      <c r="M14" s="1405"/>
    </row>
    <row r="15" spans="2:25" ht="15" customHeight="1">
      <c r="B15" s="1478" t="s">
        <v>256</v>
      </c>
      <c r="C15" s="1358" t="s">
        <v>245</v>
      </c>
      <c r="D15" s="1358" t="s">
        <v>246</v>
      </c>
      <c r="E15" s="1358" t="s">
        <v>246</v>
      </c>
      <c r="F15" s="1358">
        <v>0.85</v>
      </c>
      <c r="G15" s="1358">
        <v>2.1</v>
      </c>
      <c r="H15" s="1358">
        <v>1</v>
      </c>
      <c r="I15" s="1358">
        <f t="shared" si="0"/>
        <v>1.7849999999999999</v>
      </c>
      <c r="J15" s="1358">
        <v>3.2</v>
      </c>
      <c r="K15" s="1358">
        <v>10</v>
      </c>
      <c r="L15" s="1358">
        <f>I15*J15*K15*H15</f>
        <v>57.12</v>
      </c>
      <c r="M15" s="1477">
        <f>SUM(L15:L21)</f>
        <v>1204.68</v>
      </c>
    </row>
    <row r="16" spans="2:25" ht="15" customHeight="1">
      <c r="B16" s="1480"/>
      <c r="C16" s="1360" t="s">
        <v>195</v>
      </c>
      <c r="D16" s="1360" t="s">
        <v>247</v>
      </c>
      <c r="E16" s="1360" t="s">
        <v>248</v>
      </c>
      <c r="F16" s="1360">
        <v>1.5</v>
      </c>
      <c r="G16" s="1360">
        <v>1.5</v>
      </c>
      <c r="H16" s="1360">
        <v>1</v>
      </c>
      <c r="I16" s="1360">
        <f t="shared" si="0"/>
        <v>2.25</v>
      </c>
      <c r="J16" s="1360">
        <v>6</v>
      </c>
      <c r="K16" s="1360">
        <v>10</v>
      </c>
      <c r="L16" s="1360">
        <f t="shared" ref="L16:L21" si="2">I16*J16*K16*H16</f>
        <v>135</v>
      </c>
      <c r="M16" s="1404"/>
    </row>
    <row r="17" spans="2:13" ht="15" customHeight="1">
      <c r="B17" s="1480"/>
      <c r="C17" s="1307" t="s">
        <v>249</v>
      </c>
      <c r="D17" s="1360" t="s">
        <v>250</v>
      </c>
      <c r="E17" s="1360" t="s">
        <v>251</v>
      </c>
      <c r="F17" s="1360">
        <v>2.8</v>
      </c>
      <c r="G17" s="1360">
        <v>3.4</v>
      </c>
      <c r="H17" s="1360">
        <v>1</v>
      </c>
      <c r="I17" s="1360">
        <f t="shared" si="0"/>
        <v>9.52</v>
      </c>
      <c r="J17" s="1360">
        <v>2.2999999999999998</v>
      </c>
      <c r="K17" s="1360">
        <v>10</v>
      </c>
      <c r="L17" s="1360">
        <f t="shared" si="2"/>
        <v>218.95999999999998</v>
      </c>
      <c r="M17" s="1404"/>
    </row>
    <row r="18" spans="2:13" ht="15" customHeight="1">
      <c r="B18" s="1480"/>
      <c r="C18" s="1360" t="s">
        <v>195</v>
      </c>
      <c r="D18" s="1360" t="s">
        <v>252</v>
      </c>
      <c r="E18" s="1360" t="s">
        <v>253</v>
      </c>
      <c r="F18" s="1360">
        <v>2.8</v>
      </c>
      <c r="G18" s="1360">
        <v>4</v>
      </c>
      <c r="H18" s="1360">
        <v>1</v>
      </c>
      <c r="I18" s="1360">
        <f t="shared" si="0"/>
        <v>11.2</v>
      </c>
      <c r="J18" s="1360">
        <v>1.6</v>
      </c>
      <c r="K18" s="1360">
        <v>10</v>
      </c>
      <c r="L18" s="1360">
        <f t="shared" si="2"/>
        <v>179.2</v>
      </c>
      <c r="M18" s="1404"/>
    </row>
    <row r="19" spans="2:13" ht="15" customHeight="1">
      <c r="B19" s="1480"/>
      <c r="C19" s="1360" t="s">
        <v>254</v>
      </c>
      <c r="D19" s="1360" t="s">
        <v>252</v>
      </c>
      <c r="E19" s="1360" t="s">
        <v>253</v>
      </c>
      <c r="F19" s="1360">
        <v>3.4</v>
      </c>
      <c r="G19" s="1360">
        <v>4</v>
      </c>
      <c r="H19" s="1360">
        <v>1</v>
      </c>
      <c r="I19" s="1360">
        <f t="shared" si="0"/>
        <v>13.6</v>
      </c>
      <c r="J19" s="1360">
        <v>1.6</v>
      </c>
      <c r="K19" s="1360">
        <v>10</v>
      </c>
      <c r="L19" s="1360">
        <f t="shared" si="2"/>
        <v>217.60000000000002</v>
      </c>
      <c r="M19" s="1404"/>
    </row>
    <row r="20" spans="2:13" ht="15" customHeight="1">
      <c r="B20" s="1480"/>
      <c r="C20" s="1360" t="s">
        <v>255</v>
      </c>
      <c r="D20" s="1360" t="s">
        <v>252</v>
      </c>
      <c r="E20" s="1360" t="s">
        <v>253</v>
      </c>
      <c r="F20" s="1360">
        <v>3.4</v>
      </c>
      <c r="G20" s="1360">
        <v>4</v>
      </c>
      <c r="H20" s="1360">
        <v>1</v>
      </c>
      <c r="I20" s="1360">
        <f t="shared" si="0"/>
        <v>13.6</v>
      </c>
      <c r="J20" s="1360">
        <v>1.6</v>
      </c>
      <c r="K20" s="1360">
        <v>10</v>
      </c>
      <c r="L20" s="1360">
        <f t="shared" si="2"/>
        <v>217.60000000000002</v>
      </c>
      <c r="M20" s="1404"/>
    </row>
    <row r="21" spans="2:13" ht="15" customHeight="1" thickBot="1">
      <c r="B21" s="1481"/>
      <c r="C21" s="1367" t="s">
        <v>245</v>
      </c>
      <c r="D21" s="1367" t="s">
        <v>252</v>
      </c>
      <c r="E21" s="1367" t="s">
        <v>253</v>
      </c>
      <c r="F21" s="1367">
        <v>2.8</v>
      </c>
      <c r="G21" s="1367">
        <v>4</v>
      </c>
      <c r="H21" s="1367">
        <v>1</v>
      </c>
      <c r="I21" s="1367">
        <f t="shared" si="0"/>
        <v>11.2</v>
      </c>
      <c r="J21" s="1367">
        <v>1.6</v>
      </c>
      <c r="K21" s="1367">
        <v>10</v>
      </c>
      <c r="L21" s="1367">
        <f t="shared" si="2"/>
        <v>179.2</v>
      </c>
      <c r="M21" s="1405"/>
    </row>
    <row r="22" spans="2:13" ht="15" customHeight="1">
      <c r="B22" s="1478" t="s">
        <v>257</v>
      </c>
      <c r="C22" s="1358" t="s">
        <v>245</v>
      </c>
      <c r="D22" s="1358" t="s">
        <v>246</v>
      </c>
      <c r="E22" s="1358" t="s">
        <v>246</v>
      </c>
      <c r="F22" s="1358">
        <v>0.85</v>
      </c>
      <c r="G22" s="1358">
        <v>2.1</v>
      </c>
      <c r="H22" s="1358">
        <v>1</v>
      </c>
      <c r="I22" s="1358">
        <f t="shared" si="0"/>
        <v>1.7849999999999999</v>
      </c>
      <c r="J22" s="1358">
        <v>3.2</v>
      </c>
      <c r="K22" s="1358">
        <v>10</v>
      </c>
      <c r="L22" s="1358">
        <f>I22*J22*K22*H22</f>
        <v>57.12</v>
      </c>
      <c r="M22" s="1477">
        <f>SUM(L22:L28)</f>
        <v>1472.7399999999998</v>
      </c>
    </row>
    <row r="23" spans="2:13" ht="15" customHeight="1">
      <c r="B23" s="1480"/>
      <c r="C23" s="1360" t="s">
        <v>195</v>
      </c>
      <c r="D23" s="1360" t="s">
        <v>247</v>
      </c>
      <c r="E23" s="1360" t="s">
        <v>248</v>
      </c>
      <c r="F23" s="1360">
        <v>1.5</v>
      </c>
      <c r="G23" s="1360">
        <v>1.5</v>
      </c>
      <c r="H23" s="1360">
        <v>1</v>
      </c>
      <c r="I23" s="1360">
        <f t="shared" si="0"/>
        <v>2.25</v>
      </c>
      <c r="J23" s="1360">
        <v>6</v>
      </c>
      <c r="K23" s="1360">
        <v>10</v>
      </c>
      <c r="L23" s="1360">
        <f t="shared" ref="L23:L28" si="3">I23*J23*K23*H23</f>
        <v>135</v>
      </c>
      <c r="M23" s="1404"/>
    </row>
    <row r="24" spans="2:13" ht="15" customHeight="1">
      <c r="B24" s="1480"/>
      <c r="C24" s="1307" t="s">
        <v>249</v>
      </c>
      <c r="D24" s="1360" t="s">
        <v>250</v>
      </c>
      <c r="E24" s="1360" t="s">
        <v>251</v>
      </c>
      <c r="F24" s="1360">
        <v>3.4</v>
      </c>
      <c r="G24" s="1360">
        <v>4.0999999999999996</v>
      </c>
      <c r="H24" s="1360">
        <v>1</v>
      </c>
      <c r="I24" s="1360">
        <f t="shared" si="0"/>
        <v>13.939999999999998</v>
      </c>
      <c r="J24" s="1360">
        <v>2.2999999999999998</v>
      </c>
      <c r="K24" s="1360">
        <v>10</v>
      </c>
      <c r="L24" s="1360">
        <f t="shared" si="3"/>
        <v>320.61999999999989</v>
      </c>
      <c r="M24" s="1404"/>
    </row>
    <row r="25" spans="2:13" ht="15" customHeight="1">
      <c r="B25" s="1480"/>
      <c r="C25" s="1360" t="s">
        <v>195</v>
      </c>
      <c r="D25" s="1360" t="s">
        <v>252</v>
      </c>
      <c r="E25" s="1360" t="s">
        <v>253</v>
      </c>
      <c r="F25" s="1360">
        <v>4.0999999999999996</v>
      </c>
      <c r="G25" s="1360">
        <v>4</v>
      </c>
      <c r="H25" s="1360">
        <v>1</v>
      </c>
      <c r="I25" s="1360">
        <f t="shared" si="0"/>
        <v>16.399999999999999</v>
      </c>
      <c r="J25" s="1360">
        <v>1.6</v>
      </c>
      <c r="K25" s="1360">
        <v>10</v>
      </c>
      <c r="L25" s="1360">
        <f t="shared" si="3"/>
        <v>262.39999999999998</v>
      </c>
      <c r="M25" s="1404"/>
    </row>
    <row r="26" spans="2:13" ht="15" customHeight="1">
      <c r="B26" s="1480"/>
      <c r="C26" s="1360" t="s">
        <v>254</v>
      </c>
      <c r="D26" s="1360" t="s">
        <v>252</v>
      </c>
      <c r="E26" s="1360" t="s">
        <v>253</v>
      </c>
      <c r="F26" s="1360">
        <v>3.4</v>
      </c>
      <c r="G26" s="1360">
        <v>4</v>
      </c>
      <c r="H26" s="1360">
        <v>1</v>
      </c>
      <c r="I26" s="1360">
        <f t="shared" si="0"/>
        <v>13.6</v>
      </c>
      <c r="J26" s="1360">
        <v>1.6</v>
      </c>
      <c r="K26" s="1360">
        <v>10</v>
      </c>
      <c r="L26" s="1360">
        <f t="shared" si="3"/>
        <v>217.60000000000002</v>
      </c>
      <c r="M26" s="1404"/>
    </row>
    <row r="27" spans="2:13" ht="15" customHeight="1">
      <c r="B27" s="1480"/>
      <c r="C27" s="1360" t="s">
        <v>255</v>
      </c>
      <c r="D27" s="1360" t="s">
        <v>252</v>
      </c>
      <c r="E27" s="1360" t="s">
        <v>253</v>
      </c>
      <c r="F27" s="1360">
        <v>3.4</v>
      </c>
      <c r="G27" s="1360">
        <v>4</v>
      </c>
      <c r="H27" s="1360">
        <v>1</v>
      </c>
      <c r="I27" s="1360">
        <f t="shared" si="0"/>
        <v>13.6</v>
      </c>
      <c r="J27" s="1360">
        <v>1.6</v>
      </c>
      <c r="K27" s="1360">
        <v>10</v>
      </c>
      <c r="L27" s="1360">
        <f t="shared" si="3"/>
        <v>217.60000000000002</v>
      </c>
      <c r="M27" s="1404"/>
    </row>
    <row r="28" spans="2:13" ht="15" customHeight="1" thickBot="1">
      <c r="B28" s="1481"/>
      <c r="C28" s="1367" t="s">
        <v>245</v>
      </c>
      <c r="D28" s="1367" t="s">
        <v>252</v>
      </c>
      <c r="E28" s="1367" t="s">
        <v>253</v>
      </c>
      <c r="F28" s="1367">
        <v>4.0999999999999996</v>
      </c>
      <c r="G28" s="1367">
        <v>4</v>
      </c>
      <c r="H28" s="1367">
        <v>1</v>
      </c>
      <c r="I28" s="1367">
        <f t="shared" si="0"/>
        <v>16.399999999999999</v>
      </c>
      <c r="J28" s="1367">
        <v>1.6</v>
      </c>
      <c r="K28" s="1367">
        <v>10</v>
      </c>
      <c r="L28" s="1367">
        <f t="shared" si="3"/>
        <v>262.39999999999998</v>
      </c>
      <c r="M28" s="1405"/>
    </row>
    <row r="29" spans="2:13" ht="15" customHeight="1">
      <c r="B29" s="1478" t="s">
        <v>218</v>
      </c>
      <c r="C29" s="1358" t="s">
        <v>245</v>
      </c>
      <c r="D29" s="1358" t="s">
        <v>246</v>
      </c>
      <c r="E29" s="1358" t="s">
        <v>246</v>
      </c>
      <c r="F29" s="1358">
        <v>0.85</v>
      </c>
      <c r="G29" s="1358">
        <v>2.1</v>
      </c>
      <c r="H29" s="1358">
        <v>1</v>
      </c>
      <c r="I29" s="1358">
        <f t="shared" si="0"/>
        <v>1.7849999999999999</v>
      </c>
      <c r="J29" s="1358">
        <v>3.2</v>
      </c>
      <c r="K29" s="1358">
        <v>10</v>
      </c>
      <c r="L29" s="1358">
        <f>I29*J29*K29*H29</f>
        <v>57.12</v>
      </c>
      <c r="M29" s="1477">
        <f>SUM(L29:L36)</f>
        <v>2040.96</v>
      </c>
    </row>
    <row r="30" spans="2:13" ht="15" customHeight="1">
      <c r="B30" s="1479"/>
      <c r="C30" s="1360" t="s">
        <v>255</v>
      </c>
      <c r="D30" s="1360" t="s">
        <v>246</v>
      </c>
      <c r="E30" s="1360" t="s">
        <v>246</v>
      </c>
      <c r="F30" s="1360">
        <v>1.2</v>
      </c>
      <c r="G30" s="1360">
        <v>2.1</v>
      </c>
      <c r="H30" s="1360">
        <v>1</v>
      </c>
      <c r="I30" s="1360">
        <f t="shared" si="0"/>
        <v>2.52</v>
      </c>
      <c r="J30" s="1360">
        <v>3.2</v>
      </c>
      <c r="K30" s="1360">
        <v>10</v>
      </c>
      <c r="L30" s="1360">
        <f>I30*J30*K30*H30</f>
        <v>80.64</v>
      </c>
      <c r="M30" s="1482"/>
    </row>
    <row r="31" spans="2:13" ht="15" customHeight="1">
      <c r="B31" s="1479"/>
      <c r="C31" s="1360" t="s">
        <v>195</v>
      </c>
      <c r="D31" s="1360" t="s">
        <v>247</v>
      </c>
      <c r="E31" s="1360" t="s">
        <v>248</v>
      </c>
      <c r="F31" s="1360">
        <v>1.2</v>
      </c>
      <c r="G31" s="1360">
        <v>1.5</v>
      </c>
      <c r="H31" s="1360">
        <v>2</v>
      </c>
      <c r="I31" s="1360">
        <f t="shared" si="0"/>
        <v>1.7999999999999998</v>
      </c>
      <c r="J31" s="1360">
        <v>6</v>
      </c>
      <c r="K31" s="1360">
        <v>10</v>
      </c>
      <c r="L31" s="1360">
        <f t="shared" ref="L31:L36" si="4">I31*J31*K31*H31</f>
        <v>215.99999999999997</v>
      </c>
      <c r="M31" s="1482"/>
    </row>
    <row r="32" spans="2:13" ht="15" customHeight="1">
      <c r="B32" s="1480"/>
      <c r="C32" s="1307" t="s">
        <v>249</v>
      </c>
      <c r="D32" s="1360" t="s">
        <v>250</v>
      </c>
      <c r="E32" s="1360" t="s">
        <v>251</v>
      </c>
      <c r="F32" s="1360">
        <v>4.5</v>
      </c>
      <c r="G32" s="1360">
        <v>4.8</v>
      </c>
      <c r="H32" s="1360">
        <v>1</v>
      </c>
      <c r="I32" s="1360">
        <f t="shared" si="0"/>
        <v>21.599999999999998</v>
      </c>
      <c r="J32" s="1360">
        <v>2.2999999999999998</v>
      </c>
      <c r="K32" s="1360">
        <v>10</v>
      </c>
      <c r="L32" s="1360">
        <f t="shared" si="4"/>
        <v>496.79999999999995</v>
      </c>
      <c r="M32" s="1404"/>
    </row>
    <row r="33" spans="2:13" ht="15" customHeight="1">
      <c r="B33" s="1480"/>
      <c r="C33" s="1360" t="s">
        <v>195</v>
      </c>
      <c r="D33" s="1360" t="s">
        <v>252</v>
      </c>
      <c r="E33" s="1360" t="s">
        <v>253</v>
      </c>
      <c r="F33" s="1360">
        <v>4.5</v>
      </c>
      <c r="G33" s="1360">
        <v>4</v>
      </c>
      <c r="H33" s="1360">
        <v>1</v>
      </c>
      <c r="I33" s="1360">
        <f t="shared" si="0"/>
        <v>18</v>
      </c>
      <c r="J33" s="1360">
        <v>1.6</v>
      </c>
      <c r="K33" s="1360">
        <v>10</v>
      </c>
      <c r="L33" s="1360">
        <f t="shared" si="4"/>
        <v>288</v>
      </c>
      <c r="M33" s="1404"/>
    </row>
    <row r="34" spans="2:13" ht="15" customHeight="1">
      <c r="B34" s="1480"/>
      <c r="C34" s="1360" t="s">
        <v>255</v>
      </c>
      <c r="D34" s="1360" t="s">
        <v>252</v>
      </c>
      <c r="E34" s="1360" t="s">
        <v>253</v>
      </c>
      <c r="F34" s="1360">
        <v>4.8</v>
      </c>
      <c r="G34" s="1360">
        <v>4</v>
      </c>
      <c r="H34" s="1360">
        <v>1</v>
      </c>
      <c r="I34" s="1360">
        <f t="shared" si="0"/>
        <v>19.2</v>
      </c>
      <c r="J34" s="1360">
        <v>1.6</v>
      </c>
      <c r="K34" s="1360">
        <v>10</v>
      </c>
      <c r="L34" s="1360">
        <f t="shared" si="4"/>
        <v>307.2</v>
      </c>
      <c r="M34" s="1404"/>
    </row>
    <row r="35" spans="2:13" ht="15" customHeight="1">
      <c r="B35" s="1480"/>
      <c r="C35" s="1360" t="s">
        <v>254</v>
      </c>
      <c r="D35" s="1360" t="s">
        <v>252</v>
      </c>
      <c r="E35" s="1360" t="s">
        <v>253</v>
      </c>
      <c r="F35" s="1360">
        <v>4.8</v>
      </c>
      <c r="G35" s="1360">
        <v>4</v>
      </c>
      <c r="H35" s="1360">
        <v>1</v>
      </c>
      <c r="I35" s="1360">
        <f t="shared" si="0"/>
        <v>19.2</v>
      </c>
      <c r="J35" s="1360">
        <v>1.6</v>
      </c>
      <c r="K35" s="1360">
        <v>10</v>
      </c>
      <c r="L35" s="1360">
        <f t="shared" si="4"/>
        <v>307.2</v>
      </c>
      <c r="M35" s="1404"/>
    </row>
    <row r="36" spans="2:13" ht="15" customHeight="1" thickBot="1">
      <c r="B36" s="1481"/>
      <c r="C36" s="1367" t="s">
        <v>245</v>
      </c>
      <c r="D36" s="1367" t="s">
        <v>252</v>
      </c>
      <c r="E36" s="1367" t="s">
        <v>253</v>
      </c>
      <c r="F36" s="1367">
        <v>4.5</v>
      </c>
      <c r="G36" s="1367">
        <v>4</v>
      </c>
      <c r="H36" s="1367">
        <v>1</v>
      </c>
      <c r="I36" s="1367">
        <f t="shared" si="0"/>
        <v>18</v>
      </c>
      <c r="J36" s="1367">
        <v>1.6</v>
      </c>
      <c r="K36" s="1367">
        <v>10</v>
      </c>
      <c r="L36" s="1367">
        <f t="shared" si="4"/>
        <v>288</v>
      </c>
      <c r="M36" s="1405"/>
    </row>
    <row r="37" spans="2:13" ht="15" customHeight="1" thickBot="1"/>
    <row r="38" spans="2:13" ht="15" customHeight="1" thickBot="1">
      <c r="B38" s="1451" t="s">
        <v>258</v>
      </c>
      <c r="C38" s="1452"/>
      <c r="D38" s="1452"/>
      <c r="E38" s="1452"/>
      <c r="F38" s="1452"/>
      <c r="G38" s="1452"/>
      <c r="H38" s="1452"/>
      <c r="I38" s="1452"/>
      <c r="J38" s="1453"/>
    </row>
    <row r="39" spans="2:13" ht="15" customHeight="1" thickBot="1">
      <c r="B39" s="1350" t="s">
        <v>176</v>
      </c>
      <c r="C39" s="1323" t="s">
        <v>177</v>
      </c>
      <c r="D39" s="1483" t="s">
        <v>238</v>
      </c>
      <c r="E39" s="1483"/>
      <c r="F39" s="1323" t="s">
        <v>227</v>
      </c>
      <c r="G39" s="1323" t="s">
        <v>239</v>
      </c>
      <c r="H39" s="1323" t="s">
        <v>259</v>
      </c>
      <c r="I39" s="1323" t="s">
        <v>260</v>
      </c>
      <c r="J39" s="1351" t="s">
        <v>261</v>
      </c>
    </row>
    <row r="40" spans="2:13" ht="15" customHeight="1">
      <c r="B40" s="619" t="s">
        <v>244</v>
      </c>
      <c r="C40" s="131" t="s">
        <v>262</v>
      </c>
      <c r="D40" s="131">
        <v>1.5</v>
      </c>
      <c r="E40" s="131">
        <v>1.5</v>
      </c>
      <c r="F40" s="131">
        <v>1</v>
      </c>
      <c r="G40" s="131">
        <f>E40*D40</f>
        <v>2.25</v>
      </c>
      <c r="H40" s="131">
        <v>335</v>
      </c>
      <c r="I40" s="131">
        <v>0.3</v>
      </c>
      <c r="J40" s="45">
        <f>G40*H40*I40*F40</f>
        <v>226.125</v>
      </c>
    </row>
    <row r="41" spans="2:13" ht="15" customHeight="1">
      <c r="B41" s="618" t="s">
        <v>263</v>
      </c>
      <c r="C41" s="1360" t="s">
        <v>262</v>
      </c>
      <c r="D41" s="1360">
        <v>1.5</v>
      </c>
      <c r="E41" s="1360">
        <v>1.5</v>
      </c>
      <c r="F41" s="1360">
        <v>1</v>
      </c>
      <c r="G41" s="1360">
        <f>E41*D41</f>
        <v>2.25</v>
      </c>
      <c r="H41" s="1360">
        <v>335</v>
      </c>
      <c r="I41" s="1360">
        <v>0.3</v>
      </c>
      <c r="J41" s="4">
        <f>G41*H41*I41*F41</f>
        <v>226.125</v>
      </c>
    </row>
    <row r="42" spans="2:13" ht="15" customHeight="1">
      <c r="B42" s="618" t="s">
        <v>264</v>
      </c>
      <c r="C42" s="1360" t="s">
        <v>262</v>
      </c>
      <c r="D42" s="1360">
        <v>1.5</v>
      </c>
      <c r="E42" s="1360">
        <v>1.5</v>
      </c>
      <c r="F42" s="1360">
        <v>1</v>
      </c>
      <c r="G42" s="1360">
        <f>E42*D42</f>
        <v>2.25</v>
      </c>
      <c r="H42" s="1360">
        <v>335</v>
      </c>
      <c r="I42" s="1360">
        <v>0.3</v>
      </c>
      <c r="J42" s="4">
        <f>G42*H42*I42*F42</f>
        <v>226.125</v>
      </c>
    </row>
    <row r="43" spans="2:13" ht="15" customHeight="1" thickBot="1">
      <c r="B43" s="620" t="s">
        <v>218</v>
      </c>
      <c r="C43" s="1367" t="s">
        <v>262</v>
      </c>
      <c r="D43" s="1367">
        <v>1.5</v>
      </c>
      <c r="E43" s="1367">
        <v>1.5</v>
      </c>
      <c r="F43" s="1367">
        <v>2</v>
      </c>
      <c r="G43" s="1367">
        <f>E43*D43</f>
        <v>2.25</v>
      </c>
      <c r="H43" s="1367">
        <v>335</v>
      </c>
      <c r="I43" s="1367">
        <v>0.3</v>
      </c>
      <c r="J43" s="5">
        <f>G43*H43*I43*F43</f>
        <v>452.25</v>
      </c>
    </row>
    <row r="44" spans="2:13" ht="15" customHeight="1" thickBot="1"/>
    <row r="45" spans="2:13" ht="15" customHeight="1" thickBot="1">
      <c r="B45" s="1451" t="s">
        <v>265</v>
      </c>
      <c r="C45" s="1452"/>
      <c r="D45" s="1452"/>
      <c r="E45" s="1453"/>
    </row>
    <row r="46" spans="2:13" ht="15" customHeight="1" thickBot="1">
      <c r="B46" s="1350" t="s">
        <v>176</v>
      </c>
      <c r="C46" s="1323" t="s">
        <v>243</v>
      </c>
      <c r="D46" s="1323" t="s">
        <v>261</v>
      </c>
      <c r="E46" s="1351" t="s">
        <v>266</v>
      </c>
    </row>
    <row r="47" spans="2:13" ht="15" customHeight="1">
      <c r="B47" s="619" t="s">
        <v>244</v>
      </c>
      <c r="C47" s="131">
        <f>M8</f>
        <v>1204.68</v>
      </c>
      <c r="D47" s="131">
        <f>J40</f>
        <v>226.125</v>
      </c>
      <c r="E47" s="45">
        <f>SUM(C47:D47)</f>
        <v>1430.8050000000001</v>
      </c>
    </row>
    <row r="48" spans="2:13" ht="15" customHeight="1">
      <c r="B48" s="618" t="s">
        <v>263</v>
      </c>
      <c r="C48" s="1360">
        <f>M15</f>
        <v>1204.68</v>
      </c>
      <c r="D48" s="1360">
        <f>J41</f>
        <v>226.125</v>
      </c>
      <c r="E48" s="4">
        <f>SUM(C48:D48)</f>
        <v>1430.8050000000001</v>
      </c>
    </row>
    <row r="49" spans="2:18" ht="15" customHeight="1">
      <c r="B49" s="618" t="s">
        <v>264</v>
      </c>
      <c r="C49" s="1360">
        <f>M22</f>
        <v>1472.7399999999998</v>
      </c>
      <c r="D49" s="1360">
        <f>J42</f>
        <v>226.125</v>
      </c>
      <c r="E49" s="4">
        <f>SUM(C49:D49)</f>
        <v>1698.8649999999998</v>
      </c>
    </row>
    <row r="50" spans="2:18" ht="15" customHeight="1" thickBot="1">
      <c r="B50" s="620" t="s">
        <v>218</v>
      </c>
      <c r="C50" s="1367">
        <f>M29</f>
        <v>2040.96</v>
      </c>
      <c r="D50" s="1367">
        <f>J43</f>
        <v>452.25</v>
      </c>
      <c r="E50" s="5">
        <f>SUM(C50:D50)</f>
        <v>2493.21</v>
      </c>
    </row>
    <row r="53" spans="2:18" s="614" customFormat="1" ht="28.9" customHeight="1">
      <c r="B53" s="1468" t="s">
        <v>267</v>
      </c>
      <c r="C53" s="1468"/>
      <c r="D53" s="1468"/>
      <c r="E53" s="1468"/>
      <c r="F53" s="623"/>
      <c r="G53" s="623"/>
      <c r="H53" s="623"/>
      <c r="I53" s="623"/>
      <c r="L53" s="617"/>
      <c r="R53" s="624"/>
    </row>
    <row r="54" spans="2:18" ht="15" customHeight="1" thickBot="1"/>
    <row r="55" spans="2:18" ht="15" customHeight="1" thickBot="1">
      <c r="B55" s="1451" t="s">
        <v>268</v>
      </c>
      <c r="C55" s="1452"/>
      <c r="D55" s="1452"/>
      <c r="E55" s="1452"/>
      <c r="F55" s="1453"/>
    </row>
    <row r="56" spans="2:18" ht="15" customHeight="1" thickBot="1">
      <c r="B56" s="1350" t="s">
        <v>176</v>
      </c>
      <c r="C56" s="1323" t="s">
        <v>269</v>
      </c>
      <c r="D56" s="1323" t="s">
        <v>270</v>
      </c>
      <c r="E56" s="1323" t="s">
        <v>271</v>
      </c>
      <c r="F56" s="1351" t="s">
        <v>272</v>
      </c>
      <c r="G56"/>
      <c r="H56"/>
      <c r="I56"/>
    </row>
    <row r="57" spans="2:18" ht="15" customHeight="1">
      <c r="B57" s="619" t="s">
        <v>244</v>
      </c>
      <c r="C57" s="263">
        <v>1</v>
      </c>
      <c r="D57" s="263">
        <v>55</v>
      </c>
      <c r="E57" s="131">
        <v>35</v>
      </c>
      <c r="F57" s="45">
        <f>D57*C57+E57*C57</f>
        <v>90</v>
      </c>
      <c r="G57"/>
      <c r="H57"/>
      <c r="I57"/>
    </row>
    <row r="58" spans="2:18" ht="15" customHeight="1">
      <c r="B58" s="618" t="s">
        <v>263</v>
      </c>
      <c r="C58" s="262">
        <v>2</v>
      </c>
      <c r="D58" s="262">
        <v>55</v>
      </c>
      <c r="E58" s="1360">
        <v>45</v>
      </c>
      <c r="F58" s="4">
        <f>D58*C58+E58*C58</f>
        <v>200</v>
      </c>
      <c r="G58"/>
      <c r="H58"/>
      <c r="I58"/>
    </row>
    <row r="59" spans="2:18" ht="15" customHeight="1">
      <c r="B59" s="618" t="s">
        <v>264</v>
      </c>
      <c r="C59" s="262">
        <v>3</v>
      </c>
      <c r="D59" s="262">
        <v>55</v>
      </c>
      <c r="E59" s="1360">
        <v>45</v>
      </c>
      <c r="F59" s="4">
        <f>D59*C59+E59*C59</f>
        <v>300</v>
      </c>
      <c r="G59"/>
      <c r="H59"/>
      <c r="I59"/>
    </row>
    <row r="60" spans="2:18" ht="15" customHeight="1" thickBot="1">
      <c r="B60" s="620" t="s">
        <v>218</v>
      </c>
      <c r="C60" s="266">
        <v>12</v>
      </c>
      <c r="D60" s="266">
        <v>55</v>
      </c>
      <c r="E60" s="1367">
        <v>35</v>
      </c>
      <c r="F60" s="5">
        <f>D60*C60+E60*C60</f>
        <v>1080</v>
      </c>
      <c r="G60"/>
      <c r="H60"/>
      <c r="I60"/>
    </row>
    <row r="61" spans="2:18" ht="15" customHeight="1" thickBot="1">
      <c r="B61"/>
      <c r="C61"/>
      <c r="D61"/>
      <c r="E61"/>
      <c r="F61"/>
      <c r="G61"/>
      <c r="H61"/>
      <c r="I61"/>
    </row>
    <row r="62" spans="2:18" ht="15" customHeight="1" thickBot="1">
      <c r="B62" s="1469" t="s">
        <v>273</v>
      </c>
      <c r="C62" s="1470"/>
      <c r="D62" s="1470"/>
      <c r="E62" s="1470"/>
      <c r="F62" s="1470"/>
      <c r="G62" s="1471"/>
      <c r="H62"/>
      <c r="I62"/>
    </row>
    <row r="63" spans="2:18" ht="15" customHeight="1" thickBot="1">
      <c r="B63" s="1350" t="s">
        <v>176</v>
      </c>
      <c r="C63" s="1323" t="s">
        <v>227</v>
      </c>
      <c r="D63" s="1323" t="s">
        <v>196</v>
      </c>
      <c r="E63" s="1323" t="s">
        <v>274</v>
      </c>
      <c r="F63" s="1323" t="s">
        <v>275</v>
      </c>
      <c r="G63" s="1351" t="s">
        <v>276</v>
      </c>
      <c r="H63"/>
      <c r="I63"/>
    </row>
    <row r="64" spans="2:18" ht="15" customHeight="1">
      <c r="B64" s="619" t="s">
        <v>244</v>
      </c>
      <c r="C64" s="263">
        <v>3</v>
      </c>
      <c r="D64" s="263" t="s">
        <v>277</v>
      </c>
      <c r="E64" s="131">
        <v>60</v>
      </c>
      <c r="F64" s="131">
        <f>E64*C64</f>
        <v>180</v>
      </c>
      <c r="G64" s="45">
        <f>F64*0.86*1.2</f>
        <v>185.76000000000002</v>
      </c>
      <c r="H64"/>
      <c r="I64"/>
    </row>
    <row r="65" spans="2:9" ht="15" customHeight="1">
      <c r="B65" s="618" t="s">
        <v>263</v>
      </c>
      <c r="C65" s="262">
        <v>3</v>
      </c>
      <c r="D65" s="262" t="s">
        <v>277</v>
      </c>
      <c r="E65" s="1360">
        <v>60</v>
      </c>
      <c r="F65" s="1360">
        <f>E65*C65</f>
        <v>180</v>
      </c>
      <c r="G65" s="4">
        <f>F65*0.86*1.2</f>
        <v>185.76000000000002</v>
      </c>
      <c r="H65"/>
      <c r="I65"/>
    </row>
    <row r="66" spans="2:9" ht="15" customHeight="1">
      <c r="B66" s="618" t="s">
        <v>264</v>
      </c>
      <c r="C66" s="262">
        <v>4</v>
      </c>
      <c r="D66" s="262" t="s">
        <v>277</v>
      </c>
      <c r="E66" s="1360">
        <v>60</v>
      </c>
      <c r="F66" s="1360">
        <f>E66*C66</f>
        <v>240</v>
      </c>
      <c r="G66" s="4">
        <f>F66*0.86*1.2</f>
        <v>247.68</v>
      </c>
      <c r="H66"/>
      <c r="I66"/>
    </row>
    <row r="67" spans="2:9" ht="15" customHeight="1" thickBot="1">
      <c r="B67" s="620" t="s">
        <v>218</v>
      </c>
      <c r="C67" s="266">
        <v>6</v>
      </c>
      <c r="D67" s="266" t="s">
        <v>206</v>
      </c>
      <c r="E67" s="1367">
        <v>50</v>
      </c>
      <c r="F67" s="1367">
        <f>E67*C67</f>
        <v>300</v>
      </c>
      <c r="G67" s="5">
        <f>F67*0.86*1.2</f>
        <v>309.59999999999997</v>
      </c>
      <c r="H67"/>
      <c r="I67"/>
    </row>
    <row r="68" spans="2:9" ht="15" customHeight="1" thickBot="1">
      <c r="B68"/>
      <c r="C68"/>
      <c r="D68"/>
      <c r="E68"/>
      <c r="F68" s="1305"/>
      <c r="G68"/>
      <c r="H68"/>
      <c r="I68"/>
    </row>
    <row r="69" spans="2:9" ht="15" customHeight="1" thickBot="1">
      <c r="B69" s="1472" t="s">
        <v>278</v>
      </c>
      <c r="C69" s="1473"/>
      <c r="D69" s="1473"/>
      <c r="E69" s="1473"/>
      <c r="F69" s="1473"/>
      <c r="G69" s="1473"/>
      <c r="H69" s="1473"/>
      <c r="I69" s="1474"/>
    </row>
    <row r="70" spans="2:9" ht="15" customHeight="1" thickBot="1">
      <c r="B70" s="635" t="s">
        <v>176</v>
      </c>
      <c r="C70" s="636" t="s">
        <v>227</v>
      </c>
      <c r="D70" s="1323" t="s">
        <v>279</v>
      </c>
      <c r="E70" s="1323" t="s">
        <v>280</v>
      </c>
      <c r="F70" s="1323" t="s">
        <v>275</v>
      </c>
      <c r="G70" s="1323" t="s">
        <v>281</v>
      </c>
      <c r="H70" s="1323" t="s">
        <v>282</v>
      </c>
      <c r="I70" s="1351" t="s">
        <v>283</v>
      </c>
    </row>
    <row r="71" spans="2:9" ht="15" customHeight="1">
      <c r="B71" s="1475" t="s">
        <v>244</v>
      </c>
      <c r="C71" s="634">
        <v>1</v>
      </c>
      <c r="D71" s="633" t="s">
        <v>284</v>
      </c>
      <c r="E71" s="1358">
        <v>400</v>
      </c>
      <c r="F71" s="1358">
        <f t="shared" ref="F71:F77" si="5">E71*C71</f>
        <v>400</v>
      </c>
      <c r="G71" s="1358">
        <v>0.8</v>
      </c>
      <c r="H71" s="1358">
        <f t="shared" ref="H71:H77" si="6">F71*(1-G71)*0.86</f>
        <v>68.799999999999983</v>
      </c>
      <c r="I71" s="1477">
        <f>SUM(H71:H72)</f>
        <v>122.54999999999998</v>
      </c>
    </row>
    <row r="72" spans="2:9" ht="15" customHeight="1" thickBot="1">
      <c r="B72" s="1476"/>
      <c r="C72" s="632">
        <v>1</v>
      </c>
      <c r="D72" s="266" t="s">
        <v>285</v>
      </c>
      <c r="E72" s="1367">
        <v>250</v>
      </c>
      <c r="F72" s="1367">
        <f t="shared" si="5"/>
        <v>250</v>
      </c>
      <c r="G72" s="1367">
        <v>0.75</v>
      </c>
      <c r="H72" s="1367">
        <f t="shared" si="6"/>
        <v>53.75</v>
      </c>
      <c r="I72" s="1405"/>
    </row>
    <row r="73" spans="2:9" ht="15" customHeight="1">
      <c r="B73" s="1475" t="s">
        <v>263</v>
      </c>
      <c r="C73" s="634">
        <v>2</v>
      </c>
      <c r="D73" s="633" t="s">
        <v>284</v>
      </c>
      <c r="E73" s="1358">
        <v>400</v>
      </c>
      <c r="F73" s="1358">
        <f t="shared" si="5"/>
        <v>800</v>
      </c>
      <c r="G73" s="1358">
        <v>0.8</v>
      </c>
      <c r="H73" s="1358">
        <f t="shared" si="6"/>
        <v>137.59999999999997</v>
      </c>
      <c r="I73" s="1477">
        <f>SUM(H73:H74)</f>
        <v>169.84999999999997</v>
      </c>
    </row>
    <row r="74" spans="2:9" ht="15" customHeight="1" thickBot="1">
      <c r="B74" s="1476"/>
      <c r="C74" s="632">
        <v>1</v>
      </c>
      <c r="D74" s="266" t="s">
        <v>286</v>
      </c>
      <c r="E74" s="1367">
        <v>250</v>
      </c>
      <c r="F74" s="1367">
        <f t="shared" si="5"/>
        <v>250</v>
      </c>
      <c r="G74" s="1367">
        <v>0.85</v>
      </c>
      <c r="H74" s="1367">
        <f t="shared" si="6"/>
        <v>32.250000000000007</v>
      </c>
      <c r="I74" s="1405"/>
    </row>
    <row r="75" spans="2:9" ht="15" customHeight="1">
      <c r="B75" s="1475" t="s">
        <v>264</v>
      </c>
      <c r="C75" s="634">
        <v>3</v>
      </c>
      <c r="D75" s="633" t="s">
        <v>284</v>
      </c>
      <c r="E75" s="1358">
        <v>400</v>
      </c>
      <c r="F75" s="1358">
        <f t="shared" si="5"/>
        <v>1200</v>
      </c>
      <c r="G75" s="1358">
        <v>0.8</v>
      </c>
      <c r="H75" s="1358">
        <f t="shared" si="6"/>
        <v>206.39999999999995</v>
      </c>
      <c r="I75" s="1477">
        <f>SUM(H75:H76)</f>
        <v>270.89999999999998</v>
      </c>
    </row>
    <row r="76" spans="2:9" ht="15" customHeight="1" thickBot="1">
      <c r="B76" s="1476"/>
      <c r="C76" s="632">
        <v>2</v>
      </c>
      <c r="D76" s="266" t="s">
        <v>286</v>
      </c>
      <c r="E76" s="1367">
        <v>250</v>
      </c>
      <c r="F76" s="1367">
        <f t="shared" si="5"/>
        <v>500</v>
      </c>
      <c r="G76" s="1367">
        <v>0.85</v>
      </c>
      <c r="H76" s="1367">
        <f t="shared" si="6"/>
        <v>64.500000000000014</v>
      </c>
      <c r="I76" s="1405"/>
    </row>
    <row r="77" spans="2:9" ht="15" customHeight="1" thickBot="1">
      <c r="B77" s="631" t="s">
        <v>218</v>
      </c>
      <c r="C77" s="630">
        <v>1</v>
      </c>
      <c r="D77" s="629" t="s">
        <v>287</v>
      </c>
      <c r="E77" s="628">
        <v>550</v>
      </c>
      <c r="F77" s="628">
        <f t="shared" si="5"/>
        <v>550</v>
      </c>
      <c r="G77" s="628">
        <v>0.95</v>
      </c>
      <c r="H77" s="628">
        <f t="shared" si="6"/>
        <v>23.65000000000002</v>
      </c>
      <c r="I77" s="627">
        <f>SUM(H77)</f>
        <v>23.65000000000002</v>
      </c>
    </row>
    <row r="78" spans="2:9" ht="15" customHeight="1" thickBot="1">
      <c r="B78"/>
      <c r="C78"/>
      <c r="D78"/>
      <c r="E78"/>
      <c r="F78"/>
      <c r="G78"/>
      <c r="H78"/>
      <c r="I78"/>
    </row>
    <row r="79" spans="2:9" ht="15" customHeight="1" thickBot="1">
      <c r="B79" s="1469" t="s">
        <v>288</v>
      </c>
      <c r="C79" s="1470"/>
      <c r="D79" s="1470"/>
      <c r="E79" s="1470"/>
      <c r="F79" s="1471"/>
      <c r="G79"/>
      <c r="H79"/>
      <c r="I79"/>
    </row>
    <row r="80" spans="2:9" ht="15" customHeight="1" thickBot="1">
      <c r="B80" s="1350" t="s">
        <v>176</v>
      </c>
      <c r="C80" s="1323" t="s">
        <v>272</v>
      </c>
      <c r="D80" s="1323" t="s">
        <v>276</v>
      </c>
      <c r="E80" s="1323" t="s">
        <v>283</v>
      </c>
      <c r="F80" s="1351" t="s">
        <v>289</v>
      </c>
      <c r="G80"/>
      <c r="H80"/>
      <c r="I80"/>
    </row>
    <row r="81" spans="2:18" ht="15" customHeight="1">
      <c r="B81" s="637" t="s">
        <v>244</v>
      </c>
      <c r="C81" s="131">
        <f>F57</f>
        <v>90</v>
      </c>
      <c r="D81" s="131">
        <f>G64</f>
        <v>185.76000000000002</v>
      </c>
      <c r="E81" s="131">
        <f>I71</f>
        <v>122.54999999999998</v>
      </c>
      <c r="F81" s="45">
        <f>SUM(C81:E81)</f>
        <v>398.30999999999995</v>
      </c>
      <c r="G81"/>
      <c r="H81"/>
      <c r="I81"/>
    </row>
    <row r="82" spans="2:18" ht="15" customHeight="1">
      <c r="B82" s="626" t="s">
        <v>263</v>
      </c>
      <c r="C82" s="1360">
        <f>F58</f>
        <v>200</v>
      </c>
      <c r="D82" s="1360">
        <f>G65</f>
        <v>185.76000000000002</v>
      </c>
      <c r="E82" s="1360">
        <f>I73</f>
        <v>169.84999999999997</v>
      </c>
      <c r="F82" s="4">
        <f>SUM(C82:E82)</f>
        <v>555.6099999999999</v>
      </c>
      <c r="G82"/>
      <c r="H82"/>
      <c r="I82"/>
    </row>
    <row r="83" spans="2:18" ht="15" customHeight="1">
      <c r="B83" s="626" t="s">
        <v>264</v>
      </c>
      <c r="C83" s="1360">
        <f>F59</f>
        <v>300</v>
      </c>
      <c r="D83" s="1360">
        <f>G66</f>
        <v>247.68</v>
      </c>
      <c r="E83" s="1360">
        <f>I75</f>
        <v>270.89999999999998</v>
      </c>
      <c r="F83" s="4">
        <f>SUM(C83:E83)</f>
        <v>818.58</v>
      </c>
      <c r="G83"/>
      <c r="H83"/>
      <c r="I83"/>
    </row>
    <row r="84" spans="2:18" ht="15" customHeight="1" thickBot="1">
      <c r="B84" s="625" t="s">
        <v>218</v>
      </c>
      <c r="C84" s="1367">
        <f>F60</f>
        <v>1080</v>
      </c>
      <c r="D84" s="1367">
        <f>G67</f>
        <v>309.59999999999997</v>
      </c>
      <c r="E84" s="1367">
        <f>I77</f>
        <v>23.65000000000002</v>
      </c>
      <c r="F84" s="5">
        <f>SUM(C84:E84)</f>
        <v>1413.25</v>
      </c>
      <c r="G84"/>
      <c r="H84"/>
      <c r="I84"/>
    </row>
    <row r="85" spans="2:18" ht="15" customHeight="1">
      <c r="B85"/>
      <c r="C85"/>
      <c r="D85"/>
      <c r="E85"/>
      <c r="F85"/>
      <c r="G85"/>
      <c r="H85"/>
      <c r="I85"/>
    </row>
    <row r="86" spans="2:18" s="614" customFormat="1" ht="28.9" customHeight="1">
      <c r="B86" s="1468" t="s">
        <v>290</v>
      </c>
      <c r="C86" s="1468"/>
      <c r="D86" s="1468"/>
      <c r="E86" s="1468"/>
      <c r="F86" s="623"/>
      <c r="G86" s="623"/>
      <c r="H86" s="623"/>
      <c r="I86" s="623"/>
      <c r="L86" s="617"/>
      <c r="R86" s="624"/>
    </row>
    <row r="87" spans="2:18" ht="15" customHeight="1" thickBot="1">
      <c r="B87"/>
      <c r="C87"/>
      <c r="D87"/>
      <c r="E87"/>
      <c r="F87"/>
      <c r="G87"/>
      <c r="H87"/>
      <c r="I87"/>
    </row>
    <row r="88" spans="2:18" ht="43.15">
      <c r="B88" s="1460" t="s">
        <v>291</v>
      </c>
      <c r="C88" s="647" t="s">
        <v>292</v>
      </c>
      <c r="D88" s="647" t="s">
        <v>293</v>
      </c>
      <c r="E88" s="1327" t="s">
        <v>294</v>
      </c>
      <c r="F88" s="1327" t="s">
        <v>295</v>
      </c>
      <c r="G88" s="1327" t="s">
        <v>296</v>
      </c>
      <c r="H88" s="1336" t="s">
        <v>297</v>
      </c>
      <c r="I88"/>
    </row>
    <row r="89" spans="2:18" ht="15" customHeight="1" thickBot="1">
      <c r="B89" s="1461"/>
      <c r="C89" s="648" t="s">
        <v>298</v>
      </c>
      <c r="D89" s="648" t="s">
        <v>299</v>
      </c>
      <c r="E89" s="649" t="s">
        <v>300</v>
      </c>
      <c r="F89" s="649" t="s">
        <v>301</v>
      </c>
      <c r="G89" s="649" t="s">
        <v>302</v>
      </c>
      <c r="H89" s="1349" t="s">
        <v>303</v>
      </c>
      <c r="I89"/>
    </row>
    <row r="90" spans="2:18" ht="15" customHeight="1">
      <c r="B90" s="619" t="s">
        <v>244</v>
      </c>
      <c r="C90" s="644">
        <f>(E47+F81-E57)/(17*10)</f>
        <v>10.553617647058823</v>
      </c>
      <c r="D90" s="645">
        <v>0.2</v>
      </c>
      <c r="E90" s="644">
        <f>C90*D90</f>
        <v>2.1107235294117648</v>
      </c>
      <c r="F90" s="644">
        <f>17*E90*10</f>
        <v>358.82299999999998</v>
      </c>
      <c r="G90" s="644">
        <f>42*E90*4</f>
        <v>354.60155294117646</v>
      </c>
      <c r="H90" s="646">
        <f>F90+G90</f>
        <v>713.42455294117644</v>
      </c>
      <c r="I90"/>
    </row>
    <row r="91" spans="2:18" ht="15" customHeight="1">
      <c r="B91" s="618" t="s">
        <v>263</v>
      </c>
      <c r="C91" s="638">
        <f>(E48+F82-E58)/(17*10)</f>
        <v>11.420088235294118</v>
      </c>
      <c r="D91" s="639">
        <v>0.2</v>
      </c>
      <c r="E91" s="638">
        <f>C91*D91</f>
        <v>2.2840176470588238</v>
      </c>
      <c r="F91" s="638">
        <f>17*E91*10</f>
        <v>388.28300000000007</v>
      </c>
      <c r="G91" s="638">
        <f>42*E91*4</f>
        <v>383.71496470588238</v>
      </c>
      <c r="H91" s="640">
        <f>F91+G91</f>
        <v>771.9979647058824</v>
      </c>
      <c r="I91"/>
    </row>
    <row r="92" spans="2:18" ht="15" customHeight="1">
      <c r="B92" s="618" t="s">
        <v>264</v>
      </c>
      <c r="C92" s="638">
        <f>(E49+F83-E59)/(17*10)</f>
        <v>14.543794117647057</v>
      </c>
      <c r="D92" s="639">
        <v>0.2</v>
      </c>
      <c r="E92" s="638">
        <f>C92*D92</f>
        <v>2.9087588235294115</v>
      </c>
      <c r="F92" s="638">
        <f>17*E92*10</f>
        <v>494.48899999999992</v>
      </c>
      <c r="G92" s="638">
        <f>42*E92*4</f>
        <v>488.67148235294115</v>
      </c>
      <c r="H92" s="640">
        <f>F92+G92</f>
        <v>983.16048235294102</v>
      </c>
      <c r="I92"/>
    </row>
    <row r="93" spans="2:18" ht="15" customHeight="1" thickBot="1">
      <c r="B93" s="620" t="s">
        <v>218</v>
      </c>
      <c r="C93" s="641">
        <f>(E50+F84-E60)/(17*10)</f>
        <v>22.773294117647058</v>
      </c>
      <c r="D93" s="642">
        <v>0.2</v>
      </c>
      <c r="E93" s="641">
        <f>C93*D93</f>
        <v>4.5546588235294116</v>
      </c>
      <c r="F93" s="641">
        <f>17*E93*10</f>
        <v>774.29199999999992</v>
      </c>
      <c r="G93" s="641">
        <f>42*E93*4</f>
        <v>765.18268235294113</v>
      </c>
      <c r="H93" s="643">
        <f>F93+G93</f>
        <v>1539.474682352941</v>
      </c>
      <c r="I93"/>
    </row>
    <row r="94" spans="2:18" ht="15" customHeight="1">
      <c r="B94"/>
      <c r="C94"/>
      <c r="D94"/>
      <c r="E94"/>
      <c r="F94"/>
      <c r="G94"/>
      <c r="H94"/>
      <c r="I94"/>
    </row>
    <row r="95" spans="2:18" s="614" customFormat="1" ht="28.9" customHeight="1">
      <c r="B95" s="1468" t="s">
        <v>304</v>
      </c>
      <c r="C95" s="1468"/>
      <c r="D95" s="1468"/>
      <c r="E95" s="1468"/>
      <c r="F95" s="623"/>
      <c r="G95" s="623"/>
      <c r="H95" s="623"/>
      <c r="I95" s="623"/>
      <c r="L95" s="617"/>
      <c r="R95" s="624"/>
    </row>
    <row r="96" spans="2:18" ht="15" customHeight="1" thickBot="1"/>
    <row r="97" spans="2:18" ht="28.9">
      <c r="B97" s="1460" t="s">
        <v>291</v>
      </c>
      <c r="C97" s="647" t="s">
        <v>305</v>
      </c>
      <c r="D97" s="647" t="s">
        <v>306</v>
      </c>
      <c r="E97" s="647" t="s">
        <v>297</v>
      </c>
      <c r="F97" s="1327" t="s">
        <v>307</v>
      </c>
      <c r="G97" s="1462" t="s">
        <v>308</v>
      </c>
      <c r="H97" s="1464" t="s">
        <v>309</v>
      </c>
      <c r="I97" s="1466" t="s">
        <v>310</v>
      </c>
    </row>
    <row r="98" spans="2:18" ht="15" customHeight="1" thickBot="1">
      <c r="B98" s="1461"/>
      <c r="C98" s="648" t="s">
        <v>311</v>
      </c>
      <c r="D98" s="648" t="s">
        <v>312</v>
      </c>
      <c r="E98" s="648" t="s">
        <v>303</v>
      </c>
      <c r="F98" s="648" t="s">
        <v>313</v>
      </c>
      <c r="G98" s="1463"/>
      <c r="H98" s="1465"/>
      <c r="I98" s="1467"/>
    </row>
    <row r="99" spans="2:18" ht="15" customHeight="1">
      <c r="B99" s="658" t="s">
        <v>244</v>
      </c>
      <c r="C99" s="659">
        <f>E47</f>
        <v>1430.8050000000001</v>
      </c>
      <c r="D99" s="659">
        <f>F81</f>
        <v>398.30999999999995</v>
      </c>
      <c r="E99" s="659">
        <f>H90</f>
        <v>713.42455294117644</v>
      </c>
      <c r="F99" s="659">
        <f>C99+D99+E99</f>
        <v>2542.5395529411762</v>
      </c>
      <c r="G99" s="660">
        <f>ROUNDUP(F99,-2)</f>
        <v>2600</v>
      </c>
      <c r="H99" s="661" t="s">
        <v>314</v>
      </c>
      <c r="I99" s="662">
        <v>2974</v>
      </c>
    </row>
    <row r="100" spans="2:18" ht="15" customHeight="1">
      <c r="B100" s="650" t="s">
        <v>263</v>
      </c>
      <c r="C100" s="651">
        <f>E48</f>
        <v>1430.8050000000001</v>
      </c>
      <c r="D100" s="651">
        <f>F82</f>
        <v>555.6099999999999</v>
      </c>
      <c r="E100" s="651">
        <f>H91</f>
        <v>771.9979647058824</v>
      </c>
      <c r="F100" s="651">
        <f>C100+D100+E100</f>
        <v>2758.4129647058826</v>
      </c>
      <c r="G100" s="652">
        <f>ROUNDUP(F100,-2)</f>
        <v>2800</v>
      </c>
      <c r="H100" s="653" t="s">
        <v>314</v>
      </c>
      <c r="I100" s="655">
        <v>2974</v>
      </c>
    </row>
    <row r="101" spans="2:18" ht="15" customHeight="1">
      <c r="B101" s="650" t="s">
        <v>264</v>
      </c>
      <c r="C101" s="651">
        <f>E49</f>
        <v>1698.8649999999998</v>
      </c>
      <c r="D101" s="651">
        <f>F83</f>
        <v>818.58</v>
      </c>
      <c r="E101" s="651">
        <f>H92</f>
        <v>983.16048235294102</v>
      </c>
      <c r="F101" s="651">
        <f>C101+D101+E101</f>
        <v>3500.6054823529407</v>
      </c>
      <c r="G101" s="652">
        <f>ROUNDUP(F101,-2)</f>
        <v>3600</v>
      </c>
      <c r="H101" s="653" t="s">
        <v>315</v>
      </c>
      <c r="I101" s="655">
        <v>4300</v>
      </c>
    </row>
    <row r="102" spans="2:18" ht="15" customHeight="1" thickBot="1">
      <c r="B102" s="620" t="s">
        <v>218</v>
      </c>
      <c r="C102" s="656">
        <f>E50</f>
        <v>2493.21</v>
      </c>
      <c r="D102" s="656">
        <f>F84</f>
        <v>1413.25</v>
      </c>
      <c r="E102" s="656">
        <f>H93</f>
        <v>1539.474682352941</v>
      </c>
      <c r="F102" s="641">
        <f>C102+D102+E102</f>
        <v>5445.9346823529413</v>
      </c>
      <c r="G102" s="654">
        <f>ROUNDUP(F102,-2)</f>
        <v>5500</v>
      </c>
      <c r="H102" s="654" t="s">
        <v>316</v>
      </c>
      <c r="I102" s="657">
        <v>5615</v>
      </c>
    </row>
    <row r="104" spans="2:18" s="614" customFormat="1" ht="28.9" customHeight="1">
      <c r="B104" s="1468" t="s">
        <v>317</v>
      </c>
      <c r="C104" s="1468"/>
      <c r="D104" s="1468"/>
      <c r="E104" s="1468"/>
      <c r="F104" s="623"/>
      <c r="G104" s="623"/>
      <c r="H104" s="623"/>
      <c r="I104" s="623"/>
      <c r="L104" s="617"/>
      <c r="R104" s="624"/>
    </row>
    <row r="105" spans="2:18" ht="15" customHeight="1" thickBot="1"/>
    <row r="106" spans="2:18" ht="15" customHeight="1" thickBot="1">
      <c r="B106" s="795" t="s">
        <v>225</v>
      </c>
      <c r="C106" s="453" t="s">
        <v>318</v>
      </c>
      <c r="D106" s="453" t="s">
        <v>227</v>
      </c>
      <c r="E106" s="997" t="s">
        <v>319</v>
      </c>
    </row>
    <row r="107" spans="2:18" ht="15" customHeight="1">
      <c r="B107" s="1000" t="s">
        <v>320</v>
      </c>
      <c r="C107" s="1001">
        <v>674000</v>
      </c>
      <c r="D107" s="1002">
        <v>2</v>
      </c>
      <c r="E107" s="1003">
        <f t="shared" ref="E107:E112" si="7">C107*D107</f>
        <v>1348000</v>
      </c>
    </row>
    <row r="108" spans="2:18" ht="15" customHeight="1">
      <c r="B108" s="1004" t="s">
        <v>321</v>
      </c>
      <c r="C108" s="999">
        <v>685150</v>
      </c>
      <c r="D108" s="998">
        <v>1</v>
      </c>
      <c r="E108" s="1005">
        <f t="shared" si="7"/>
        <v>685150</v>
      </c>
    </row>
    <row r="109" spans="2:18" ht="15" customHeight="1">
      <c r="B109" s="1004" t="s">
        <v>322</v>
      </c>
      <c r="C109" s="999">
        <v>1305000</v>
      </c>
      <c r="D109" s="998">
        <v>1</v>
      </c>
      <c r="E109" s="1005">
        <f t="shared" si="7"/>
        <v>1305000</v>
      </c>
    </row>
    <row r="110" spans="2:18" ht="15" customHeight="1">
      <c r="B110" s="1004" t="s">
        <v>323</v>
      </c>
      <c r="C110" s="999">
        <v>130000</v>
      </c>
      <c r="D110" s="998">
        <v>2</v>
      </c>
      <c r="E110" s="1005">
        <f t="shared" si="7"/>
        <v>260000</v>
      </c>
    </row>
    <row r="111" spans="2:18" ht="15" customHeight="1">
      <c r="B111" s="1004" t="s">
        <v>324</v>
      </c>
      <c r="C111" s="999">
        <v>150000</v>
      </c>
      <c r="D111" s="998">
        <v>2</v>
      </c>
      <c r="E111" s="1005">
        <f t="shared" si="7"/>
        <v>300000</v>
      </c>
    </row>
    <row r="112" spans="2:18" ht="15" customHeight="1" thickBot="1">
      <c r="B112" s="1032" t="s">
        <v>325</v>
      </c>
      <c r="C112" s="762">
        <v>55000</v>
      </c>
      <c r="D112" s="652">
        <v>4</v>
      </c>
      <c r="E112" s="1033">
        <f t="shared" si="7"/>
        <v>220000</v>
      </c>
    </row>
    <row r="113" spans="2:5" ht="15" customHeight="1">
      <c r="B113" s="1458" t="s">
        <v>147</v>
      </c>
      <c r="C113" s="1459"/>
      <c r="D113" s="1459"/>
      <c r="E113" s="1034">
        <f>SUM(E107:E109)</f>
        <v>3338150</v>
      </c>
    </row>
    <row r="114" spans="2:5" ht="15" customHeight="1">
      <c r="B114" s="1454" t="s">
        <v>231</v>
      </c>
      <c r="C114" s="1455"/>
      <c r="D114" s="1455"/>
      <c r="E114" s="1042">
        <v>1002.5</v>
      </c>
    </row>
    <row r="115" spans="2:5" ht="15" customHeight="1" thickBot="1">
      <c r="B115" s="1456" t="s">
        <v>232</v>
      </c>
      <c r="C115" s="1457"/>
      <c r="D115" s="1457"/>
      <c r="E115" s="1044">
        <f>E113/E114</f>
        <v>3329.8254364089776</v>
      </c>
    </row>
  </sheetData>
  <mergeCells count="36">
    <mergeCell ref="B4:E4"/>
    <mergeCell ref="F7:G7"/>
    <mergeCell ref="B8:B14"/>
    <mergeCell ref="M8:M14"/>
    <mergeCell ref="B15:B21"/>
    <mergeCell ref="M15:M21"/>
    <mergeCell ref="B45:E45"/>
    <mergeCell ref="B53:E53"/>
    <mergeCell ref="B29:B36"/>
    <mergeCell ref="M29:M36"/>
    <mergeCell ref="B6:M6"/>
    <mergeCell ref="D39:E39"/>
    <mergeCell ref="B38:J38"/>
    <mergeCell ref="B22:B28"/>
    <mergeCell ref="M22:M28"/>
    <mergeCell ref="H97:H98"/>
    <mergeCell ref="I97:I98"/>
    <mergeCell ref="B95:E95"/>
    <mergeCell ref="B104:E104"/>
    <mergeCell ref="B55:F55"/>
    <mergeCell ref="B62:G62"/>
    <mergeCell ref="B69:I69"/>
    <mergeCell ref="B79:F79"/>
    <mergeCell ref="B86:E86"/>
    <mergeCell ref="B88:B89"/>
    <mergeCell ref="B71:B72"/>
    <mergeCell ref="I71:I72"/>
    <mergeCell ref="B73:B74"/>
    <mergeCell ref="I73:I74"/>
    <mergeCell ref="B75:B76"/>
    <mergeCell ref="I75:I76"/>
    <mergeCell ref="B114:D114"/>
    <mergeCell ref="B115:D115"/>
    <mergeCell ref="B113:D113"/>
    <mergeCell ref="B97:B98"/>
    <mergeCell ref="G97:G98"/>
  </mergeCells>
  <hyperlinks>
    <hyperlink ref="C2" location="Indice!A1" display="INICIO" xr:uid="{00000000-0004-0000-0800-000000000000}"/>
  </hyperlink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AGUSTIN</dc:creator>
  <cp:keywords/>
  <dc:description/>
  <cp:lastModifiedBy>Joaquin Ligorio</cp:lastModifiedBy>
  <cp:revision/>
  <dcterms:created xsi:type="dcterms:W3CDTF">2023-05-19T20:15:27Z</dcterms:created>
  <dcterms:modified xsi:type="dcterms:W3CDTF">2025-03-05T02:25:53Z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a7ed875-cb67-40d7-9ea6-a804b08b1148_Enabled">
    <vt:lpwstr>true</vt:lpwstr>
  </property>
  <property fmtid="{D5CDD505-2E9C-101B-9397-08002B2CF9AE}" pid="3" name="MSIP_Label_9a7ed875-cb67-40d7-9ea6-a804b08b1148_SetDate">
    <vt:lpwstr>2023-08-18T23:41:16Z</vt:lpwstr>
  </property>
  <property fmtid="{D5CDD505-2E9C-101B-9397-08002B2CF9AE}" pid="4" name="MSIP_Label_9a7ed875-cb67-40d7-9ea6-a804b08b1148_Method">
    <vt:lpwstr>Privileged</vt:lpwstr>
  </property>
  <property fmtid="{D5CDD505-2E9C-101B-9397-08002B2CF9AE}" pid="5" name="MSIP_Label_9a7ed875-cb67-40d7-9ea6-a804b08b1148_Name">
    <vt:lpwstr>9a7ed875-cb67-40d7-9ea6-a804b08b1148</vt:lpwstr>
  </property>
  <property fmtid="{D5CDD505-2E9C-101B-9397-08002B2CF9AE}" pid="6" name="MSIP_Label_9a7ed875-cb67-40d7-9ea6-a804b08b1148_SiteId">
    <vt:lpwstr>473672ba-cd07-4371-a2ae-788b4c61840e</vt:lpwstr>
  </property>
  <property fmtid="{D5CDD505-2E9C-101B-9397-08002B2CF9AE}" pid="7" name="MSIP_Label_9a7ed875-cb67-40d7-9ea6-a804b08b1148_ActionId">
    <vt:lpwstr>f61d2b60-ce70-4b87-a81f-9756a1249fbd</vt:lpwstr>
  </property>
  <property fmtid="{D5CDD505-2E9C-101B-9397-08002B2CF9AE}" pid="8" name="MSIP_Label_9a7ed875-cb67-40d7-9ea6-a804b08b1148_ContentBits">
    <vt:lpwstr>0</vt:lpwstr>
  </property>
</Properties>
</file>