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lujo de caja" sheetId="1" r:id="rId4"/>
    <sheet state="visible" name="Copia de Flujo de caja" sheetId="2" r:id="rId5"/>
    <sheet state="visible" name="Gráfico" sheetId="3" r:id="rId6"/>
    <sheet state="visible" name="Inversión" sheetId="4" r:id="rId7"/>
    <sheet state="visible" name="Accidentes" sheetId="5" r:id="rId8"/>
    <sheet state="visible" name="Venta de plástico" sheetId="6" r:id="rId9"/>
    <sheet state="visible" name="Beneficio en inyección" sheetId="7" r:id="rId10"/>
    <sheet state="visible" name="Mantenimiento" sheetId="8" r:id="rId11"/>
    <sheet state="visible" name="Aumento del consumo eléctrico" sheetId="9" r:id="rId12"/>
    <sheet state="visible" name="Mano de obra" sheetId="10" r:id="rId13"/>
  </sheets>
  <definedNames/>
  <calcPr/>
</workbook>
</file>

<file path=xl/sharedStrings.xml><?xml version="1.0" encoding="utf-8"?>
<sst xmlns="http://schemas.openxmlformats.org/spreadsheetml/2006/main" count="1500" uniqueCount="866">
  <si>
    <t>FLUJO DE CAJA ANUAL</t>
  </si>
  <si>
    <t>Momento</t>
  </si>
  <si>
    <t>AÑOS</t>
  </si>
  <si>
    <t>Tasa de interés (i)</t>
  </si>
  <si>
    <t>Tasa de descuento (d)</t>
  </si>
  <si>
    <t>Inversión</t>
  </si>
  <si>
    <t>TIR</t>
  </si>
  <si>
    <t>Accidentes</t>
  </si>
  <si>
    <t>VAN</t>
  </si>
  <si>
    <t>Beneficio en inyección</t>
  </si>
  <si>
    <t>Venta plástico molido</t>
  </si>
  <si>
    <t>Mantenimiento</t>
  </si>
  <si>
    <t>Tasa de interés mensual</t>
  </si>
  <si>
    <t>Aumento del consumo eléctrico</t>
  </si>
  <si>
    <t>Tasa de descuento mes</t>
  </si>
  <si>
    <t>Diferencia de mano de obra</t>
  </si>
  <si>
    <t>Flujo de fondos</t>
  </si>
  <si>
    <t>VAN por período</t>
  </si>
  <si>
    <t>FLUJO DE CAJA MENSUAL
AÑO 1</t>
  </si>
  <si>
    <t>MESES</t>
  </si>
  <si>
    <t>TOTAL</t>
  </si>
  <si>
    <t>FLUJO DE CAJA MENSUAL
AÑO 2</t>
  </si>
  <si>
    <t>FLUJO DE CAJA MENSUAL
AÑO 3</t>
  </si>
  <si>
    <t>FLUJO DE CAJA MENSUAL
AÑO 4</t>
  </si>
  <si>
    <t>FLUJO DE CAJA MENSUAL
AÑO 5</t>
  </si>
  <si>
    <t>Momento 0</t>
  </si>
  <si>
    <t>Costo por aumento de la mano de obra</t>
  </si>
  <si>
    <t>Costo por aumento del consumo eléctrico</t>
  </si>
  <si>
    <t>Costo por mantenimiento</t>
  </si>
  <si>
    <t>Beneficio por plástico molido comercializable</t>
  </si>
  <si>
    <t>Beneficio por plástico molido para inyección</t>
  </si>
  <si>
    <t>Beneficio por la prevención de accidentes</t>
  </si>
  <si>
    <t>Mes</t>
  </si>
  <si>
    <t>Año 1</t>
  </si>
  <si>
    <t>Año 2</t>
  </si>
  <si>
    <t>Año 3</t>
  </si>
  <si>
    <t>Año 4</t>
  </si>
  <si>
    <t>Año 5</t>
  </si>
  <si>
    <t>Rubro</t>
  </si>
  <si>
    <t>Precio total</t>
  </si>
  <si>
    <t>Mes 1</t>
  </si>
  <si>
    <t>Mes 2</t>
  </si>
  <si>
    <t>Mes 3</t>
  </si>
  <si>
    <t>Materiales estructurales</t>
  </si>
  <si>
    <t>Metal</t>
  </si>
  <si>
    <t>Obra civil / 2</t>
  </si>
  <si>
    <t>Instalación eléctrica</t>
  </si>
  <si>
    <t>Potencia y transmisión</t>
  </si>
  <si>
    <t>Potencia</t>
  </si>
  <si>
    <t>Mano de obra / 3</t>
  </si>
  <si>
    <t>Conducción de agua</t>
  </si>
  <si>
    <t>Agua</t>
  </si>
  <si>
    <t>Tornillos y tuercas</t>
  </si>
  <si>
    <t>Bolunería</t>
  </si>
  <si>
    <t>Pintura</t>
  </si>
  <si>
    <t>Materiales varios</t>
  </si>
  <si>
    <t>Varios</t>
  </si>
  <si>
    <t>Obra civil</t>
  </si>
  <si>
    <t>Mano de obra de máquinas</t>
  </si>
  <si>
    <t>Adicionales</t>
  </si>
  <si>
    <t>Adicionales varios</t>
  </si>
  <si>
    <t>Chapas</t>
  </si>
  <si>
    <t>Ítem</t>
  </si>
  <si>
    <t>Máquina</t>
  </si>
  <si>
    <t>Precio unitario</t>
  </si>
  <si>
    <t>Cantidad</t>
  </si>
  <si>
    <t>Chapa LAF C20</t>
  </si>
  <si>
    <t>Tanque de lavado</t>
  </si>
  <si>
    <t>$ 2.169,61</t>
  </si>
  <si>
    <t>1 [m2]</t>
  </si>
  <si>
    <t>Chapa LAF C18</t>
  </si>
  <si>
    <t>Sierra circular de banco
Cinta transportadora I
Cinta transportadora II</t>
  </si>
  <si>
    <t>$ 2.983,51</t>
  </si>
  <si>
    <t>5 [m2]</t>
  </si>
  <si>
    <t>$ 14.169,61</t>
  </si>
  <si>
    <t>Chapa LAF C16</t>
  </si>
  <si>
    <t>$ 3.938,23</t>
  </si>
  <si>
    <t>Chapa LAF C14</t>
  </si>
  <si>
    <t>$ 4.344,56</t>
  </si>
  <si>
    <t>2 [m2]</t>
  </si>
  <si>
    <t>$ 8.689,11</t>
  </si>
  <si>
    <t>Chapa LAC ⅛”</t>
  </si>
  <si>
    <t>Sierra circular de banco
Cinta transportadora II
Tanque de lavado</t>
  </si>
  <si>
    <t>$ 6.288,94</t>
  </si>
  <si>
    <t>3 [m2]</t>
  </si>
  <si>
    <t>$ 18.866,84</t>
  </si>
  <si>
    <t>Chapa LAC ¼”</t>
  </si>
  <si>
    <t>Sierra circular de banco
Cinta transportadora I
Cinta transportadora II
Tanque de lavado</t>
  </si>
  <si>
    <t>$ 12.577,89</t>
  </si>
  <si>
    <t>Chapa galvanizada C20</t>
  </si>
  <si>
    <t>Cinta transportadora II</t>
  </si>
  <si>
    <t>$ 2.681,95</t>
  </si>
  <si>
    <t>$ 13.409,77</t>
  </si>
  <si>
    <t>Chapa perforada LAF C16</t>
  </si>
  <si>
    <t>$ 9.175,00</t>
  </si>
  <si>
    <t>4 [m2]</t>
  </si>
  <si>
    <t>$ 36.700,00</t>
  </si>
  <si>
    <t>$ 110.521,06</t>
  </si>
  <si>
    <t>Barras y varillas</t>
  </si>
  <si>
    <t>Barra cuadrada SAE 1010
½”x½”</t>
  </si>
  <si>
    <t>Sierra circular de banco</t>
  </si>
  <si>
    <t>$ 298,08</t>
  </si>
  <si>
    <t>3 [m]</t>
  </si>
  <si>
    <t>$ 894,24</t>
  </si>
  <si>
    <t>Barra cuadrada SAE 1010 
1½”x1½”</t>
  </si>
  <si>
    <t>$ 2.918,19</t>
  </si>
  <si>
    <t>2 [m]</t>
  </si>
  <si>
    <t>$ 5.836,38</t>
  </si>
  <si>
    <t>Barra redonda SAE 1010
Ø20 [mm]</t>
  </si>
  <si>
    <t>$ 631,10</t>
  </si>
  <si>
    <t>$ 1.893,30</t>
  </si>
  <si>
    <t>Barra redonda SAE 1010
Ø25 [mm]</t>
  </si>
  <si>
    <t>$ 957,46</t>
  </si>
  <si>
    <t>$ 1.914,92</t>
  </si>
  <si>
    <t>Varilla de acero inoxidable 
Ø8 [mm]</t>
  </si>
  <si>
    <t>$ 782,00</t>
  </si>
  <si>
    <t>1 [m]</t>
  </si>
  <si>
    <t>$ 11.320,84</t>
  </si>
  <si>
    <t>Perfiles</t>
  </si>
  <si>
    <t>Perfil estructural cuadrado SAE 1010
10x10x1,2 [mm]</t>
  </si>
  <si>
    <t>Sierra circular de banco
Cinta transportadora II</t>
  </si>
  <si>
    <t>$ 133,45</t>
  </si>
  <si>
    <t>6 [m]</t>
  </si>
  <si>
    <t>$ 800,71</t>
  </si>
  <si>
    <t>Perfil estructural cuadrado SAE 1010
30x30x2 [mm]</t>
  </si>
  <si>
    <t>Cinta transportadora II
Tanque de lavado</t>
  </si>
  <si>
    <t>$ 530,37</t>
  </si>
  <si>
    <t>4 [m]</t>
  </si>
  <si>
    <t>$ 2.121,48</t>
  </si>
  <si>
    <t>Perfil estructural cuadrado SAE 1010
40x40x2 [mm]</t>
  </si>
  <si>
    <t>$ 716,74</t>
  </si>
  <si>
    <t>5 [m]</t>
  </si>
  <si>
    <t>$ 3.583,70</t>
  </si>
  <si>
    <t>Perfil estructural cuadrado SAE 1010
50x50x3,2 [mm]</t>
  </si>
  <si>
    <t>$ 1.594,01</t>
  </si>
  <si>
    <t>12 [m]</t>
  </si>
  <si>
    <t>$ 19.128,12</t>
  </si>
  <si>
    <t>Perfil estructural cuadrado SAE 1010
60x60x2 [mm]</t>
  </si>
  <si>
    <t>$ 1.088,49</t>
  </si>
  <si>
    <t>9 [m]</t>
  </si>
  <si>
    <t>$ 9.794,41</t>
  </si>
  <si>
    <t>Perfil C LAC 120x50x15x3,2 [mm]</t>
  </si>
  <si>
    <t>$ 1.339,50</t>
  </si>
  <si>
    <t>$ 8.037,00</t>
  </si>
  <si>
    <t>Perfil ángulo LAC
1”x1”x1/8”</t>
  </si>
  <si>
    <t>$ 269,45</t>
  </si>
  <si>
    <t>$ 808,35</t>
  </si>
  <si>
    <t>Perfil U galvanizado
200x35x1,25 [mm]</t>
  </si>
  <si>
    <t>Cinta transportadora I
Cinta transportadora II</t>
  </si>
  <si>
    <t>$ 1.226,22</t>
  </si>
  <si>
    <t>16 [m]</t>
  </si>
  <si>
    <t>$ 19.619,52</t>
  </si>
  <si>
    <t>$ 63.893,29</t>
  </si>
  <si>
    <t>Otros</t>
  </si>
  <si>
    <t>Soporte ángulo de acero 100x100x2 [mm]</t>
  </si>
  <si>
    <t>$ 99,55</t>
  </si>
  <si>
    <t>5 [unid]</t>
  </si>
  <si>
    <t>$ 497,77</t>
  </si>
  <si>
    <t>Riel y corredera de aluminio
Tipo T 1 [m]</t>
  </si>
  <si>
    <t>$ 2.350,00</t>
  </si>
  <si>
    <t>4 [unid]</t>
  </si>
  <si>
    <t>$ 9.400,00</t>
  </si>
  <si>
    <t>$ 9.897,77</t>
  </si>
  <si>
    <t>Clasificación</t>
  </si>
  <si>
    <t>Precio</t>
  </si>
  <si>
    <t>$ 195.632,96</t>
  </si>
  <si>
    <t>Marca</t>
  </si>
  <si>
    <t>Motor trifásico ¼ [HP] 4P</t>
  </si>
  <si>
    <t>WEG</t>
  </si>
  <si>
    <t>Cinta transportadora I
Cinta transportadora II Tanque de lavado</t>
  </si>
  <si>
    <t>$ 13.833,00</t>
  </si>
  <si>
    <t>$ 55.332,00</t>
  </si>
  <si>
    <t>Caja reductora WMI 40 50:1</t>
  </si>
  <si>
    <t>STM</t>
  </si>
  <si>
    <t>Cinta transportadora I</t>
  </si>
  <si>
    <t>$ 11.577,00</t>
  </si>
  <si>
    <t>1 [unid]</t>
  </si>
  <si>
    <t>Caja reductora WMI 50 100:1</t>
  </si>
  <si>
    <t>Cinta transportadora II Tanque de lavado</t>
  </si>
  <si>
    <t>$ 16.610,00</t>
  </si>
  <si>
    <t>3 [unid]</t>
  </si>
  <si>
    <t>$ 49.830,00</t>
  </si>
  <si>
    <t>Piñón simple Z18 ASA 40</t>
  </si>
  <si>
    <t>-</t>
  </si>
  <si>
    <t>$ 1.415,70</t>
  </si>
  <si>
    <t>Piñón simple Z19 ASA 40</t>
  </si>
  <si>
    <t>$ 1.436,27</t>
  </si>
  <si>
    <t>Piñón simple Z22 ASA 40</t>
  </si>
  <si>
    <t>$ 1.570,06</t>
  </si>
  <si>
    <t>$ 6.280,25</t>
  </si>
  <si>
    <t>Piñón simple Z26 ASA 40</t>
  </si>
  <si>
    <t>$ 1.748,45</t>
  </si>
  <si>
    <t>Piñón doble Z26 ASA 40</t>
  </si>
  <si>
    <t>$ 1.838,59</t>
  </si>
  <si>
    <t>2 [unid]</t>
  </si>
  <si>
    <t>$ 3.677,19</t>
  </si>
  <si>
    <t>Cadena industrial 
ASA 40</t>
  </si>
  <si>
    <t>Cinta transportadora I
Tanque de lavado</t>
  </si>
  <si>
    <t>$ 5.139,30</t>
  </si>
  <si>
    <t>468 [eslab]</t>
  </si>
  <si>
    <t>Cadena industrial 
ASA 40 (con aditamentos)</t>
  </si>
  <si>
    <t>$ 18.695,41</t>
  </si>
  <si>
    <t>560 [eslab]</t>
  </si>
  <si>
    <t>Soporte: F4BSS 505-Y
Rodam: YAR 205-2LPW/SS</t>
  </si>
  <si>
    <t>SKF</t>
  </si>
  <si>
    <t>$ 3.327,50</t>
  </si>
  <si>
    <t>$ 13.310,00</t>
  </si>
  <si>
    <t>Soporte: P2BSS 504-Y
Rodam: YAR 204-2LPW/SS</t>
  </si>
  <si>
    <t>$ 3.212,55</t>
  </si>
  <si>
    <t>6 [unid]</t>
  </si>
  <si>
    <t>$ 19.275,30</t>
  </si>
  <si>
    <t>Soporte: F2BSS 505-Y
Rodam: YAR 205-2LPW/SS</t>
  </si>
  <si>
    <t>$ 2.117,50</t>
  </si>
  <si>
    <t>$ 8.470,00</t>
  </si>
  <si>
    <t>$ 196.186,87</t>
  </si>
  <si>
    <t>Conducción de agua - Cinta transportadora II</t>
  </si>
  <si>
    <t>Bomba periférica ½ [HP] 28 [m]</t>
  </si>
  <si>
    <t>Pluvius</t>
  </si>
  <si>
    <t>$ 4.870,50</t>
  </si>
  <si>
    <t>Boquilla de aspersión H-DT 110° H</t>
  </si>
  <si>
    <t>Spraying Systems</t>
  </si>
  <si>
    <t>$ 618,00</t>
  </si>
  <si>
    <t>$ 2.472,00</t>
  </si>
  <si>
    <t>Caño de termofusión Ø ½”</t>
  </si>
  <si>
    <t>Polimex</t>
  </si>
  <si>
    <t>$ 831,00</t>
  </si>
  <si>
    <t>Codo a 90° termofusión Ø ½” H</t>
  </si>
  <si>
    <t>$ 191,00</t>
  </si>
  <si>
    <t>$ 382,00</t>
  </si>
  <si>
    <t>Te termofusión Ø ½” H</t>
  </si>
  <si>
    <t>$ 363,95</t>
  </si>
  <si>
    <t>$ 1.091,85</t>
  </si>
  <si>
    <t>Reducción Ø ½” M a Ø ¼” M</t>
  </si>
  <si>
    <t>RM</t>
  </si>
  <si>
    <t>$ 320,00</t>
  </si>
  <si>
    <t>$ 1.280,00</t>
  </si>
  <si>
    <t>Niple para manguera Ø ½” M</t>
  </si>
  <si>
    <t>$ 100,00</t>
  </si>
  <si>
    <t>Niple con reducción para manguera Ø 1” a Ø ½” M</t>
  </si>
  <si>
    <t>$ 149,27</t>
  </si>
  <si>
    <t>Manguera Ø ½”</t>
  </si>
  <si>
    <t>PRP</t>
  </si>
  <si>
    <t>$ 38</t>
  </si>
  <si>
    <t>$ 76,00</t>
  </si>
  <si>
    <t>Filtro 50 [µm] Ø ¾”</t>
  </si>
  <si>
    <t>$ 11.400,00</t>
  </si>
  <si>
    <t>$ 22.652,35</t>
  </si>
  <si>
    <t>Conducción de agua - Tanque de lavado</t>
  </si>
  <si>
    <t>Flotante compacto de nivel Ø ¾”</t>
  </si>
  <si>
    <t>Precons</t>
  </si>
  <si>
    <t>$ 2.591,87</t>
  </si>
  <si>
    <t>Codo a 90° Ø ¾”</t>
  </si>
  <si>
    <t>$ 88,68</t>
  </si>
  <si>
    <t>Válvula llave de paso Ø ¾”</t>
  </si>
  <si>
    <t>Duke</t>
  </si>
  <si>
    <t>$ 360,00</t>
  </si>
  <si>
    <t>Niple para manguera Ø ¾” M</t>
  </si>
  <si>
    <t>Caño de PVC Ø 100 [mm]</t>
  </si>
  <si>
    <t>Tuboforte</t>
  </si>
  <si>
    <t>$ 1.349,76</t>
  </si>
  <si>
    <t>Codo a 90° de PVC Ø 100 [mm]</t>
  </si>
  <si>
    <t>$ 215,41</t>
  </si>
  <si>
    <t>$ 430,82</t>
  </si>
  <si>
    <t>$ 4.921,13</t>
  </si>
  <si>
    <t>$ 27.573,48</t>
  </si>
  <si>
    <t>Tornillos</t>
  </si>
  <si>
    <t>Tornillo M3x6 cabeza Phillips</t>
  </si>
  <si>
    <t>$ 20</t>
  </si>
  <si>
    <t>Tornillo M4x10 cabeza Phillips</t>
  </si>
  <si>
    <t>$ 280</t>
  </si>
  <si>
    <t>Tornillo M5x8 cabeza Phillips</t>
  </si>
  <si>
    <t>$ 12</t>
  </si>
  <si>
    <t>Tornillo M5x12
Cabeza avellanada allen</t>
  </si>
  <si>
    <t>$ 400</t>
  </si>
  <si>
    <t>Tornillo M5x16
Cabeza avellanada allen</t>
  </si>
  <si>
    <t>$ 221</t>
  </si>
  <si>
    <t>Tornillo M5x25
Cabeza hexagonal</t>
  </si>
  <si>
    <t>$ 558</t>
  </si>
  <si>
    <t>Tornillo M5x60
Cabeza hexagonal</t>
  </si>
  <si>
    <t>$ 208</t>
  </si>
  <si>
    <t>Tornillo M6x19 autoperforante</t>
  </si>
  <si>
    <t>$ 132</t>
  </si>
  <si>
    <t>Tornillo M6x25 mariposa</t>
  </si>
  <si>
    <t>$ 233</t>
  </si>
  <si>
    <t>Tornillo M6x30
Cabeza hexagonal</t>
  </si>
  <si>
    <t>Cinta transportadora I
Cinta transportadora II
Tanque de lavado</t>
  </si>
  <si>
    <t>$ 1.122</t>
  </si>
  <si>
    <t>Tornillo M6x35
Cabeza avellanada allen</t>
  </si>
  <si>
    <t>$ 432</t>
  </si>
  <si>
    <t>Tornillo M6x40 tirafondo</t>
  </si>
  <si>
    <t>$ 35</t>
  </si>
  <si>
    <t>Tornillo M6x50
Cabeza hexagonal</t>
  </si>
  <si>
    <t>$ 200</t>
  </si>
  <si>
    <t>Tornillo M8x30
Cabeza hexagonal</t>
  </si>
  <si>
    <t>$ 1.800</t>
  </si>
  <si>
    <t>Tornillo M8x40
Tirafondo cabeza avellanada Phillips</t>
  </si>
  <si>
    <t>$ 1.400</t>
  </si>
  <si>
    <t>Tornillo M8x50
Cabeza hexagonal</t>
  </si>
  <si>
    <t>$ 176</t>
  </si>
  <si>
    <t>Tornillo M8x50
Cabeza plana y lisa</t>
  </si>
  <si>
    <t>$ 640</t>
  </si>
  <si>
    <t>Tornillo M8x60
Cabeza hexagonal</t>
  </si>
  <si>
    <t>$ 392</t>
  </si>
  <si>
    <t>Tornillo M8x70
Cabeza hexagonal</t>
  </si>
  <si>
    <t>$ 214</t>
  </si>
  <si>
    <t>Tornillo M10x40
Cabeza hexagonal</t>
  </si>
  <si>
    <t>$ 1.300</t>
  </si>
  <si>
    <t>Tornillo M12x40
Cabeza hexagonal</t>
  </si>
  <si>
    <t>$ 1.402</t>
  </si>
  <si>
    <t>Tornillo M12x120
Cabeza hexagonal</t>
  </si>
  <si>
    <t>$ 344</t>
  </si>
  <si>
    <t>$ 11.521</t>
  </si>
  <si>
    <t>Tuercas</t>
  </si>
  <si>
    <t>Tuerca M4</t>
  </si>
  <si>
    <t>$ 704</t>
  </si>
  <si>
    <t>Tuerca M5</t>
  </si>
  <si>
    <t>$ 767</t>
  </si>
  <si>
    <t>Tuerca M6</t>
  </si>
  <si>
    <t>$ 679</t>
  </si>
  <si>
    <t>Tuerca M8</t>
  </si>
  <si>
    <t>$ 725</t>
  </si>
  <si>
    <t>Tuerca M10</t>
  </si>
  <si>
    <t>$ 316</t>
  </si>
  <si>
    <t>Tuerca M12</t>
  </si>
  <si>
    <t>$ 451</t>
  </si>
  <si>
    <t>$ 3.642</t>
  </si>
  <si>
    <t>$ 11.521,00</t>
  </si>
  <si>
    <t>$ 3.642,00</t>
  </si>
  <si>
    <t>$ 15.163,00</t>
  </si>
  <si>
    <t>Esmalte sintético
Antioxido para superficies metálicas y exterior
Color: amarillo</t>
  </si>
  <si>
    <t>Sierra circular de banco
Cinta transportadora I
Tanque de lavado</t>
  </si>
  <si>
    <t>$ 915,68</t>
  </si>
  <si>
    <t>0,5 [l]</t>
  </si>
  <si>
    <t>Esmalte epoxi
Para superficies metálicas y exterior
Color: verde</t>
  </si>
  <si>
    <t>$ 5.452,00</t>
  </si>
  <si>
    <t>8 [l]</t>
  </si>
  <si>
    <t>$ 10.904,00</t>
  </si>
  <si>
    <t>Fondo sintético
Para acero galvanizado y exteriores
Color: verde</t>
  </si>
  <si>
    <t>$ 1.450,00</t>
  </si>
  <si>
    <t>2 [l]</t>
  </si>
  <si>
    <t>$ 2.900,00</t>
  </si>
  <si>
    <t>$ 14.719,68</t>
  </si>
  <si>
    <t>Bandas de transporte</t>
  </si>
  <si>
    <t>Modelo</t>
  </si>
  <si>
    <t>Descripción</t>
  </si>
  <si>
    <t>Banda transportadora</t>
  </si>
  <si>
    <t>Siegling Transilon</t>
  </si>
  <si>
    <t>E 5/2 0/V4 GSTR</t>
  </si>
  <si>
    <t>Largo: 10,3 [m]
Ancho: 450 [mm]
Con 20 perfiles T60</t>
  </si>
  <si>
    <t>$ 141.297,45</t>
  </si>
  <si>
    <t>Banda modular</t>
  </si>
  <si>
    <t>Siegling Prolink</t>
  </si>
  <si>
    <t>S1-18 FLT</t>
  </si>
  <si>
    <t>Largo: 6 [m]
Ancho: 450 [mm]
Con 15 perfiles PMC</t>
  </si>
  <si>
    <t>$ 139.819,05</t>
  </si>
  <si>
    <t>Piñón para banda modular</t>
  </si>
  <si>
    <t>Piñón Z8 
Paso: 50 [mm]</t>
  </si>
  <si>
    <t>S1 SPR</t>
  </si>
  <si>
    <t>$ 4.752,30</t>
  </si>
  <si>
    <t>$ 28.513,80</t>
  </si>
  <si>
    <t>Varios - Sierra circular de banco</t>
  </si>
  <si>
    <t>Cable de acero tipo “Bowden” con funda</t>
  </si>
  <si>
    <t>$ 110,23</t>
  </si>
  <si>
    <t>Resorte de tracción 
Øext 26 [mm] - Ltot 150 [mm]</t>
  </si>
  <si>
    <t>$ 151,00</t>
  </si>
  <si>
    <t>Resorte de tracción 
Øext 16 [mm] - Ltot 85 [mm]</t>
  </si>
  <si>
    <t>$ 69,90</t>
  </si>
  <si>
    <t>Puño de goma eva
L 125 [mm] - Ø 20 [mm]</t>
  </si>
  <si>
    <t>$ 169,65</t>
  </si>
  <si>
    <t>Seguro seeger Ø 65 [mm]</t>
  </si>
  <si>
    <t>$ 450,00</t>
  </si>
  <si>
    <t>Arandela seeger Ø 8 [mm]</t>
  </si>
  <si>
    <t>$ 63,60</t>
  </si>
  <si>
    <t>$ 381,60</t>
  </si>
  <si>
    <t>$ 1.332,38</t>
  </si>
  <si>
    <t>Varios - Cinta transportadora II</t>
  </si>
  <si>
    <t>Inserto caño cuadrado 50x50 [mm]</t>
  </si>
  <si>
    <t>$ 553,00</t>
  </si>
  <si>
    <t>8 [unid]</t>
  </si>
  <si>
    <t>$ 4.424,00</t>
  </si>
  <si>
    <t>Pata niveladora roscada M16x100</t>
  </si>
  <si>
    <t>$ 851,70</t>
  </si>
  <si>
    <t>$ 5.110,20</t>
  </si>
  <si>
    <t>Rueda industrial con freno M16</t>
  </si>
  <si>
    <t>$ 3.695,00</t>
  </si>
  <si>
    <t>$ 7.390,00</t>
  </si>
  <si>
    <t>Abrazadera omega ¾”</t>
  </si>
  <si>
    <t>$ 15,20</t>
  </si>
  <si>
    <t>$ 30,40</t>
  </si>
  <si>
    <t>Tira de PVC 450x100x1,5 [mm]</t>
  </si>
  <si>
    <t>$ 80,34</t>
  </si>
  <si>
    <t>$ 17.034,94</t>
  </si>
  <si>
    <t>Instalación eléctrica - Iluminación</t>
  </si>
  <si>
    <t>Lámpara LED 40 [W]</t>
  </si>
  <si>
    <t>Philips</t>
  </si>
  <si>
    <t>$ 468,00</t>
  </si>
  <si>
    <t>9 [unid]</t>
  </si>
  <si>
    <t>$ 4.212,00</t>
  </si>
  <si>
    <t>Tubo LED 16 [W] - 1200 [mm]</t>
  </si>
  <si>
    <t>$ 246,00</t>
  </si>
  <si>
    <t>$ 1.968,00</t>
  </si>
  <si>
    <t>Luminaria colgante de campana</t>
  </si>
  <si>
    <t>$ 1.533,99</t>
  </si>
  <si>
    <t>$ 13.805,91</t>
  </si>
  <si>
    <t>Plafon estanco para 2 tubos</t>
  </si>
  <si>
    <t>$ 2.387,98</t>
  </si>
  <si>
    <t>$ 9.551,92</t>
  </si>
  <si>
    <t>$ 29.537,83</t>
  </si>
  <si>
    <t>Instalación eléctrica - Conductores</t>
  </si>
  <si>
    <t>Conductor 2x1,5 [mm2]</t>
  </si>
  <si>
    <t>IMSA</t>
  </si>
  <si>
    <t>$ 159,54</t>
  </si>
  <si>
    <t>24 [m]</t>
  </si>
  <si>
    <t>$ 3.828,96</t>
  </si>
  <si>
    <t>Conductor 3x1,5 [mm2]</t>
  </si>
  <si>
    <t>$ 210,91</t>
  </si>
  <si>
    <t>51 [m]</t>
  </si>
  <si>
    <t>$ 10.756,41</t>
  </si>
  <si>
    <t>Conductor 3x2,5 [mm2]</t>
  </si>
  <si>
    <t>$ 292,47</t>
  </si>
  <si>
    <t>7 [m]</t>
  </si>
  <si>
    <t>$ 2.047,29</t>
  </si>
  <si>
    <t>Conductor 3x10 [mm2]</t>
  </si>
  <si>
    <t>$ 969,76</t>
  </si>
  <si>
    <t>$ 3.879,04</t>
  </si>
  <si>
    <t>Conductor 4x16 [mm2]</t>
  </si>
  <si>
    <t>$ 1.936,25</t>
  </si>
  <si>
    <t>50 [m]</t>
  </si>
  <si>
    <t>$ 96.812,50</t>
  </si>
  <si>
    <t>$ 117.324,20</t>
  </si>
  <si>
    <t>Instalación eléctrica - Puesta a tierra</t>
  </si>
  <si>
    <t>Conductor 1x2,5 [mm2]</t>
  </si>
  <si>
    <t>$ 71,31</t>
  </si>
  <si>
    <t>82 [m]</t>
  </si>
  <si>
    <t>$ 5.847,42</t>
  </si>
  <si>
    <t>Conductor 1x16 [mm2]</t>
  </si>
  <si>
    <t>$ 453,26</t>
  </si>
  <si>
    <t>$ 2.266,30</t>
  </si>
  <si>
    <t>Electrodo (jabalina) ⅜” x 1 [m]</t>
  </si>
  <si>
    <t>Genrod</t>
  </si>
  <si>
    <t>$ 698,00</t>
  </si>
  <si>
    <t>Tomacable</t>
  </si>
  <si>
    <t>$ 260,00</t>
  </si>
  <si>
    <t>Caja de inspección</t>
  </si>
  <si>
    <t>$ 360,54</t>
  </si>
  <si>
    <t>$ 9.432,26</t>
  </si>
  <si>
    <t>Instalación eléctrica - Protecciones</t>
  </si>
  <si>
    <t>Precio 
total</t>
  </si>
  <si>
    <t>Seccionador tripolar 100 [A]</t>
  </si>
  <si>
    <t>$ 10.878,92</t>
  </si>
  <si>
    <t>Fusible NH000 100 [A]</t>
  </si>
  <si>
    <t>$ 3.545,50</t>
  </si>
  <si>
    <t>$ 10.636,50</t>
  </si>
  <si>
    <t>Diferencial 4x63 [A] 300 [mA]</t>
  </si>
  <si>
    <t>$ 9.204,76</t>
  </si>
  <si>
    <t>Diferencial 4x25 [A] 30 [mA]</t>
  </si>
  <si>
    <t>$ 6.316,11</t>
  </si>
  <si>
    <t>Termomagnético bipolar C2</t>
  </si>
  <si>
    <t>$ 1.135,12</t>
  </si>
  <si>
    <t>$ 2.270,24</t>
  </si>
  <si>
    <t>Termomagnético tripolar C2</t>
  </si>
  <si>
    <t>$ 1.808,14</t>
  </si>
  <si>
    <t>$ 7.232,56</t>
  </si>
  <si>
    <t>Termomagnético bipolar C4</t>
  </si>
  <si>
    <t>Termomagnético tripolar C4</t>
  </si>
  <si>
    <t>Termomagnético tetrapolar C6</t>
  </si>
  <si>
    <t>$ 2.185,62</t>
  </si>
  <si>
    <t>Termomagnético bipolar C10</t>
  </si>
  <si>
    <t>$ 891,50</t>
  </si>
  <si>
    <t>Termomagnético tripolar C10</t>
  </si>
  <si>
    <t>$ 1.421,51</t>
  </si>
  <si>
    <t>Termomagnético tetrapolar C16</t>
  </si>
  <si>
    <t>$ 2.021,41</t>
  </si>
  <si>
    <t>Guardamotor tripolar 16-20 [A]</t>
  </si>
  <si>
    <t>$ 12.254,06</t>
  </si>
  <si>
    <t>Guardamotor tripolar 40-50 [A]</t>
  </si>
  <si>
    <t>$ 32.201,82</t>
  </si>
  <si>
    <t>Relé de sobrecarga 8-12,5 [A]</t>
  </si>
  <si>
    <t>$ 5.127,62</t>
  </si>
  <si>
    <t>Relé de sobrecarga 22-32 [A]</t>
  </si>
  <si>
    <t>$ 100.075,59</t>
  </si>
  <si>
    <t>Instalación eléctrica - Comando</t>
  </si>
  <si>
    <t>Contactor tripolar 7 [A] 24 [V] AC</t>
  </si>
  <si>
    <t>$ 3.334,39</t>
  </si>
  <si>
    <t>$ 26.675,12</t>
  </si>
  <si>
    <t>Contactor tripolar 12 [A] 24 [V] AC</t>
  </si>
  <si>
    <t>$ 4.254,34</t>
  </si>
  <si>
    <t>$ 8.508,68</t>
  </si>
  <si>
    <t>Contactor tripolar 18 [A] 24 [V] AC</t>
  </si>
  <si>
    <t>$ 4.721,05</t>
  </si>
  <si>
    <t>Contactor tripolar 25 [A] 24 [V] AC</t>
  </si>
  <si>
    <t>$ 6.565,30</t>
  </si>
  <si>
    <t>$ 13.130,60</t>
  </si>
  <si>
    <t>Relé temporizador 3-30 [s]</t>
  </si>
  <si>
    <t>$ 10.848,51</t>
  </si>
  <si>
    <t>$ 21.697,02</t>
  </si>
  <si>
    <t>$ 66.223,79</t>
  </si>
  <si>
    <t>Instalación eléctrica - Compensación del factor de potencia</t>
  </si>
  <si>
    <t>Capacitor tripolar 5 [kVAr]</t>
  </si>
  <si>
    <t>$ 17.850,21</t>
  </si>
  <si>
    <t>Capacitor tripolar 10 [kVAr]</t>
  </si>
  <si>
    <t>$ 21.066,88</t>
  </si>
  <si>
    <t>Contactor tripolar para capacitor 10 [kVAr] 24 [V] AC</t>
  </si>
  <si>
    <t>$ 9.550,30</t>
  </si>
  <si>
    <t>$ 19.100,60</t>
  </si>
  <si>
    <t>$ 58.017,69</t>
  </si>
  <si>
    <t>Instalación eléctrica - Tablero y accesorios</t>
  </si>
  <si>
    <t>Gabinete estanco IP55 1200x750x225 [mm]</t>
  </si>
  <si>
    <t>$ 39.550,37</t>
  </si>
  <si>
    <t>Riel DIN 35 [mm]</t>
  </si>
  <si>
    <t>Zoloda</t>
  </si>
  <si>
    <t>$ 486,83</t>
  </si>
  <si>
    <t>$ 1460,49</t>
  </si>
  <si>
    <t>Cablecanal ranurado 40x40[mm]</t>
  </si>
  <si>
    <t>$ 329,86</t>
  </si>
  <si>
    <t>$ 989,59</t>
  </si>
  <si>
    <t>Cablecanal ranurado 80x80[mm]</t>
  </si>
  <si>
    <t>$ 667,01</t>
  </si>
  <si>
    <t>$ 2.668,06</t>
  </si>
  <si>
    <t>Bornera distribuidora 7 conex.</t>
  </si>
  <si>
    <t>$ 1.976,00</t>
  </si>
  <si>
    <t>$ 3.952,00</t>
  </si>
  <si>
    <t>Bornera distribuidora 11 conex.</t>
  </si>
  <si>
    <t>$ 2.497,00</t>
  </si>
  <si>
    <t>$ 398,00</t>
  </si>
  <si>
    <t>$ 796,00</t>
  </si>
  <si>
    <t>Transf. de potencia 200 [VA]</t>
  </si>
  <si>
    <t>Ind.</t>
  </si>
  <si>
    <t>$ 8.246,02</t>
  </si>
  <si>
    <t>Mando selector 2 posiciones</t>
  </si>
  <si>
    <t>$ 1.118,74</t>
  </si>
  <si>
    <t>11 [unid]</t>
  </si>
  <si>
    <t>$ 12.306,14</t>
  </si>
  <si>
    <t>Botón parada de emergencia</t>
  </si>
  <si>
    <t>$ 1.454,74</t>
  </si>
  <si>
    <t>Lámpara piloto (verde)</t>
  </si>
  <si>
    <t>$ 1.493,45</t>
  </si>
  <si>
    <t>$ 13.441,05</t>
  </si>
  <si>
    <t>Lámpara piloto (roja)</t>
  </si>
  <si>
    <t>$ 4.480,35</t>
  </si>
  <si>
    <t>Tomacorriente 1P+N+T 10 [A]</t>
  </si>
  <si>
    <t>SICA</t>
  </si>
  <si>
    <t>$ 839,00</t>
  </si>
  <si>
    <t>Tomacorriente 3P+T 16 [A]</t>
  </si>
  <si>
    <t>$ 1.169,00</t>
  </si>
  <si>
    <t>$ 93.849,81</t>
  </si>
  <si>
    <t>Instalación eléctrica - Bandejas portacables</t>
  </si>
  <si>
    <t>Tramo recto 200 [mm]</t>
  </si>
  <si>
    <t>$ 3.848,95</t>
  </si>
  <si>
    <t>$ 11.546,85</t>
  </si>
  <si>
    <t>Tramo recto 50 [mm]</t>
  </si>
  <si>
    <t>$ 2.001,82</t>
  </si>
  <si>
    <t>15 [m]</t>
  </si>
  <si>
    <t>$ 10.009,10</t>
  </si>
  <si>
    <t>Reducción 200 a 50 [mm]</t>
  </si>
  <si>
    <t>$ 152,18</t>
  </si>
  <si>
    <t>$ 304,36</t>
  </si>
  <si>
    <t>Curva plana a 90° 50 [mm]</t>
  </si>
  <si>
    <t>$ 160,00</t>
  </si>
  <si>
    <t>Curva articulada vertical 50 [mm]</t>
  </si>
  <si>
    <t>$ 127,91</t>
  </si>
  <si>
    <t>Curva articulada vertical 200 [mm]</t>
  </si>
  <si>
    <t>$ 310,28</t>
  </si>
  <si>
    <t>Unión te 50 [mm]</t>
  </si>
  <si>
    <t>$ 176,25</t>
  </si>
  <si>
    <t>$ 352,50</t>
  </si>
  <si>
    <t>Unión te 200 [mm]</t>
  </si>
  <si>
    <t>$ 476,83</t>
  </si>
  <si>
    <t>Unión tramo recto</t>
  </si>
  <si>
    <t>$ 127,90</t>
  </si>
  <si>
    <t>$ 511,60</t>
  </si>
  <si>
    <t>Grampa de suspensión 50 [mm]</t>
  </si>
  <si>
    <t>$ 140,14</t>
  </si>
  <si>
    <t>$ 1.121,12</t>
  </si>
  <si>
    <t>Grampa de suspensión 200 [mm]</t>
  </si>
  <si>
    <t>$ 283,69</t>
  </si>
  <si>
    <t>$ 1.134,76</t>
  </si>
  <si>
    <t>Varilla roscada 1 [m]</t>
  </si>
  <si>
    <t>$ 188,29</t>
  </si>
  <si>
    <t>$ 1.129,74</t>
  </si>
  <si>
    <t>$ 27.185,05</t>
  </si>
  <si>
    <t>Instalación eléctrica - Mano de obra</t>
  </si>
  <si>
    <t>Cableado subterráneo</t>
  </si>
  <si>
    <t>$ 433</t>
  </si>
  <si>
    <t>$ 21.680</t>
  </si>
  <si>
    <t>Instalación de bandeja de 50 [mm]</t>
  </si>
  <si>
    <t>$ 526</t>
  </si>
  <si>
    <t>$ 7.890</t>
  </si>
  <si>
    <t>Accesorios de bandeja de 50 [mm]</t>
  </si>
  <si>
    <t>$ 352</t>
  </si>
  <si>
    <t>$ 2.112</t>
  </si>
  <si>
    <t>Instalación de bandeja de 200 [mm]</t>
  </si>
  <si>
    <t>$ 787</t>
  </si>
  <si>
    <t>$ 7.083</t>
  </si>
  <si>
    <t>Accesorios de bandeja de 200 [mm]</t>
  </si>
  <si>
    <t>$ 1.052</t>
  </si>
  <si>
    <t>Cableado general según conexiones</t>
  </si>
  <si>
    <t>$ 1.066</t>
  </si>
  <si>
    <t>$ 10.660</t>
  </si>
  <si>
    <t>Instalación de artefacto de 2 tubos LED</t>
  </si>
  <si>
    <t>$ 2.922</t>
  </si>
  <si>
    <t>$ 11.688</t>
  </si>
  <si>
    <t>Instalación de artefacto colgante industrial</t>
  </si>
  <si>
    <t>$ 2.374</t>
  </si>
  <si>
    <t>$ 21.366</t>
  </si>
  <si>
    <t>Armado general de tablero</t>
  </si>
  <si>
    <t>$ 17.324</t>
  </si>
  <si>
    <t>Valor adición por módulo bipolar</t>
  </si>
  <si>
    <t>$ 3.146</t>
  </si>
  <si>
    <t>$ 15.730</t>
  </si>
  <si>
    <t>Valor adicional por ID tetrapolar</t>
  </si>
  <si>
    <t>$ 5.415</t>
  </si>
  <si>
    <t>$ 10.830</t>
  </si>
  <si>
    <t>Valor adicional por ITM tripolar</t>
  </si>
  <si>
    <t>$ 4.718</t>
  </si>
  <si>
    <t>$ 47.180</t>
  </si>
  <si>
    <t>Valor adicional por ITM tetrapolar</t>
  </si>
  <si>
    <t>Valor adicional por otros módulos</t>
  </si>
  <si>
    <t>$ 81.225</t>
  </si>
  <si>
    <t>Puesta a tierra general</t>
  </si>
  <si>
    <t>$ 6.494</t>
  </si>
  <si>
    <t>$ 273.144,00</t>
  </si>
  <si>
    <t>Iluminación</t>
  </si>
  <si>
    <t>Conductores</t>
  </si>
  <si>
    <t>Puesta a tierra</t>
  </si>
  <si>
    <t>Protecciones</t>
  </si>
  <si>
    <t>Comando</t>
  </si>
  <si>
    <t>Compensación del factor de potencia</t>
  </si>
  <si>
    <t>Tablero y accesorios</t>
  </si>
  <si>
    <t>Bandejas portacables</t>
  </si>
  <si>
    <t>Mano de obra</t>
  </si>
  <si>
    <t>$ 774.790,22</t>
  </si>
  <si>
    <t>Precio de materiales</t>
  </si>
  <si>
    <t>Precio de ejecución</t>
  </si>
  <si>
    <t>Área de la obra</t>
  </si>
  <si>
    <t>Estructura</t>
  </si>
  <si>
    <t>6.062,99 $/m2</t>
  </si>
  <si>
    <t>2.694,65 $/m2</t>
  </si>
  <si>
    <t>88 [m2]</t>
  </si>
  <si>
    <t>$ 770.672,32</t>
  </si>
  <si>
    <t>Cubiertas</t>
  </si>
  <si>
    <t>3.567,79 $/m2</t>
  </si>
  <si>
    <t>1235,89 $/m2</t>
  </si>
  <si>
    <t>$ 422.723,84</t>
  </si>
  <si>
    <t>$ 1.193.405,16</t>
  </si>
  <si>
    <t>Empleado</t>
  </si>
  <si>
    <t>Precio estimado</t>
  </si>
  <si>
    <t>Horas totales estimadas</t>
  </si>
  <si>
    <t>726 [$/h]</t>
  </si>
  <si>
    <t>376 [h]</t>
  </si>
  <si>
    <t>$ 272.976</t>
  </si>
  <si>
    <t>Ensamble</t>
  </si>
  <si>
    <t>800 [$/h]</t>
  </si>
  <si>
    <t>$ 300.800</t>
  </si>
  <si>
    <t>Inyección</t>
  </si>
  <si>
    <t>834 [$/h]</t>
  </si>
  <si>
    <t>32 [h]</t>
  </si>
  <si>
    <t>$ 26.688</t>
  </si>
  <si>
    <t>$ 600.464</t>
  </si>
  <si>
    <t>Insumos varios</t>
  </si>
  <si>
    <t>$ 16.119</t>
  </si>
  <si>
    <t>Electricidad</t>
  </si>
  <si>
    <t>$ 53.132</t>
  </si>
  <si>
    <t>Administración</t>
  </si>
  <si>
    <t>$ 51.562</t>
  </si>
  <si>
    <t>Alquiler</t>
  </si>
  <si>
    <t>$ 14.000</t>
  </si>
  <si>
    <t>$ 134.813</t>
  </si>
  <si>
    <t>Días</t>
  </si>
  <si>
    <t xml:space="preserve">Frecuencia esperable </t>
  </si>
  <si>
    <t>Clasificación de lesión</t>
  </si>
  <si>
    <t>Lesiones clasificadas según SRT</t>
  </si>
  <si>
    <t>1 cada año</t>
  </si>
  <si>
    <t>Leve</t>
  </si>
  <si>
    <t>- Lesiones superficiales, cortes y contusiones menores
- Efectos de calor e insolación
- Torceduras</t>
  </si>
  <si>
    <t>1 cada 3 años</t>
  </si>
  <si>
    <t>Intermedio</t>
  </si>
  <si>
    <t>- Heridas cortantes
- Luxaciones
- Esguinces
- Efecto de la electricidad</t>
  </si>
  <si>
    <t>1 cada 5 años</t>
  </si>
  <si>
    <t>Grave</t>
  </si>
  <si>
    <t>- Amputaciones
- Fractura cerrada</t>
  </si>
  <si>
    <t>Ausentismo</t>
  </si>
  <si>
    <t>Costos operario lesionado</t>
  </si>
  <si>
    <t>Lesión</t>
  </si>
  <si>
    <t>Horas</t>
  </si>
  <si>
    <t>$/H</t>
  </si>
  <si>
    <t>Costos directos</t>
  </si>
  <si>
    <t>Costos indirectos</t>
  </si>
  <si>
    <t>Son los que mas se ven, son los que como en un iceberg emergen y son fácilmente mensurables. Son aquellos derivados de las primas de seguridad de accidentes, (ART), gastos médicos, traslado de los heridos, rehabilitación, remedios y a veces indemnización.</t>
  </si>
  <si>
    <t>No se ven fácilmente, son los que están ocultos, los que están en parte de debajo del iceberg, son los más difíciles de medir y por lo general se considera que son cuatro o cinco veces mas que los costos directos.</t>
  </si>
  <si>
    <t> Jornales de los primeros 10 días de ocurrido el accidente.</t>
  </si>
  <si>
    <t> Tiempo dedicado a primeros auxilios, asistencia médica</t>
  </si>
  <si>
    <t>primaria y elementos utilizados en el lugar de trabajo donde</t>
  </si>
  <si>
    <t>ocurre el accidente.</t>
  </si>
  <si>
    <t> Reposición de bienes y/o materiales deteriorados.</t>
  </si>
  <si>
    <t> Mantenimiento por roturas o desperfectos producidos por el</t>
  </si>
  <si>
    <t>accidente.</t>
  </si>
  <si>
    <t> Incorporación de personal capacitado para reemplazo del</t>
  </si>
  <si>
    <t>accidentado.</t>
  </si>
  <si>
    <t> Horas extras del personal idóneo para cubrir producción ó</t>
  </si>
  <si>
    <t>servicio faltante por ausencia del trabajador accidentado.</t>
  </si>
  <si>
    <t> Capacitación de nuevo personal, para cubrir vacantes por</t>
  </si>
  <si>
    <t>ausencia del accidentado.</t>
  </si>
  <si>
    <t> Producción y utilidades perdidas debido a la ausencia del</t>
  </si>
  <si>
    <t>accidentado, si no es posible reemplazarlo.</t>
  </si>
  <si>
    <t> Menor rendimiento temporal del lesionado, una vez que regresa al</t>
  </si>
  <si>
    <t>trabajo.</t>
  </si>
  <si>
    <t> Menor producción debido al menor rendimiento del nuevo</t>
  </si>
  <si>
    <t>trabajador.</t>
  </si>
  <si>
    <t> Pérdida de venta por disminución de producción.</t>
  </si>
  <si>
    <t> Pérdida de mercado por incumplimiento de plazos o cantidad de</t>
  </si>
  <si>
    <t>producción acordada.</t>
  </si>
  <si>
    <t> Pérdida de imagen de la Empresa y /o sus productos.</t>
  </si>
  <si>
    <t> Multas por incumplimiento de compromisos contraídos.</t>
  </si>
  <si>
    <t> Tiempo perdido por el personal en el momento del accidente.</t>
  </si>
  <si>
    <t> Tiempo para la elaboración de la denuncia del accidente e</t>
  </si>
  <si>
    <t>investigación del hecho ocurrido.</t>
  </si>
  <si>
    <t> Costas por demandas y/o juicios por la vía Civil.</t>
  </si>
  <si>
    <t> Y todo otro gasto o perdida que derive del accidente</t>
  </si>
  <si>
    <t>Costos</t>
  </si>
  <si>
    <t>Producción 8000 [kg] mensual</t>
  </si>
  <si>
    <t>PP</t>
  </si>
  <si>
    <t>PEAD</t>
  </si>
  <si>
    <t>PSAI</t>
  </si>
  <si>
    <t>Costo de producción</t>
  </si>
  <si>
    <t>Materia prima</t>
  </si>
  <si>
    <t>Energía electrica</t>
  </si>
  <si>
    <t>Costo de oportunidad</t>
  </si>
  <si>
    <t>Servicio agua y cloaca</t>
  </si>
  <si>
    <t>Cargo fijo energía electrica</t>
  </si>
  <si>
    <t>Costo de comercialización
4000 [kg]</t>
  </si>
  <si>
    <t>Bolsón Big Bag</t>
  </si>
  <si>
    <t>Pallet</t>
  </si>
  <si>
    <t>Flete</t>
  </si>
  <si>
    <t>Alquiler autoelevador</t>
  </si>
  <si>
    <t xml:space="preserve"> </t>
  </si>
  <si>
    <t>Costos por kg (producción)</t>
  </si>
  <si>
    <t>Costos por kg (comercialización)</t>
  </si>
  <si>
    <t>Precio de venta</t>
  </si>
  <si>
    <t>Ingreso neto por kg</t>
  </si>
  <si>
    <t>Venta anual</t>
  </si>
  <si>
    <t>Ingreso neto anual</t>
  </si>
  <si>
    <t>Venta mensual</t>
  </si>
  <si>
    <t>Actualmente - Costo por kg producido</t>
  </si>
  <si>
    <t>Tapita (Todoni)</t>
  </si>
  <si>
    <t>Bolsa raffia</t>
  </si>
  <si>
    <t>$ MO /hs = $ 748,29</t>
  </si>
  <si>
    <t>Costo Fijo</t>
  </si>
  <si>
    <t>Costos proyectados por kg</t>
  </si>
  <si>
    <t>Diferencia por kg</t>
  </si>
  <si>
    <t>Diferencia mensual</t>
  </si>
  <si>
    <t>Diferencia anual</t>
  </si>
  <si>
    <t>Mantenimiento cadena</t>
  </si>
  <si>
    <t>Precio lubricante</t>
  </si>
  <si>
    <t>TOTAL año</t>
  </si>
  <si>
    <t>Lubricación cada 180 horas</t>
  </si>
  <si>
    <t>Aprox. 7 veces al año</t>
  </si>
  <si>
    <t>Una cadena puede llegar hasta 2000 horas de vida útil. Al año nosotras trabajamos aprox. 1200 horas. Se considera que se cambian las cadenas todos los años</t>
  </si>
  <si>
    <t>Precio cadenas</t>
  </si>
  <si>
    <t>Mantenimiento cuchillas</t>
  </si>
  <si>
    <t>Cantidad:</t>
  </si>
  <si>
    <t>4 cuchillas</t>
  </si>
  <si>
    <t>Afilado actual</t>
  </si>
  <si>
    <t>Afilado proyectado</t>
  </si>
  <si>
    <t>Reposición actual</t>
  </si>
  <si>
    <t>Reposición proyectada</t>
  </si>
  <si>
    <t>Actualmente: afilado cada 5 meses, repuesto cada 3 años (correctivo) Proyectado: afilado cada 2 meses, reposición cada 2 años (preventivo)</t>
  </si>
  <si>
    <t>Periodicidad</t>
  </si>
  <si>
    <t>5 meses</t>
  </si>
  <si>
    <t>1 mes</t>
  </si>
  <si>
    <t>3 años</t>
  </si>
  <si>
    <t>1 año</t>
  </si>
  <si>
    <t>Costo mantenimiento</t>
  </si>
  <si>
    <t>Costo anual</t>
  </si>
  <si>
    <t>Costo total anual</t>
  </si>
  <si>
    <t>Total de mano de obra en mantenimiento</t>
  </si>
  <si>
    <t>Sueldos [$/h]</t>
  </si>
  <si>
    <t>Se considera una semana de mantenimiento al año. A cargo de los constructores de la línea</t>
  </si>
  <si>
    <t>Mantenimiento periodico mensual</t>
  </si>
  <si>
    <t>Se consideran horas de mantenimiento autónomo</t>
  </si>
  <si>
    <t>TOTAL mes</t>
  </si>
  <si>
    <t>Costo total en mantenimiento al año</t>
  </si>
  <si>
    <t>Costo total en mantenimiento mensual</t>
  </si>
  <si>
    <t>Costo total en mantenimiento mes 10</t>
  </si>
  <si>
    <t>Ref.</t>
  </si>
  <si>
    <t>Equipo</t>
  </si>
  <si>
    <t>Tensión
[V]</t>
  </si>
  <si>
    <t>Corriente
[A]</t>
  </si>
  <si>
    <t>Fp</t>
  </si>
  <si>
    <t>Potencia consumo
[kW]</t>
  </si>
  <si>
    <t>Línea completa
[kW]</t>
  </si>
  <si>
    <t>Línea sin SCB
[kW]</t>
  </si>
  <si>
    <t>Línea desde CT2
[kW]</t>
  </si>
  <si>
    <t>SCB</t>
  </si>
  <si>
    <t>CT1</t>
  </si>
  <si>
    <t>MM</t>
  </si>
  <si>
    <t>Molino a martillos</t>
  </si>
  <si>
    <t>CT2M</t>
  </si>
  <si>
    <t>Motor</t>
  </si>
  <si>
    <t>CT2B</t>
  </si>
  <si>
    <t>Bomba</t>
  </si>
  <si>
    <t>MC</t>
  </si>
  <si>
    <t>Molino a cuchillas</t>
  </si>
  <si>
    <t>TTSF</t>
  </si>
  <si>
    <t>Transportador de tornillo sin fin</t>
  </si>
  <si>
    <t>TLPR</t>
  </si>
  <si>
    <t>Palas rotativas</t>
  </si>
  <si>
    <t>TLTC</t>
  </si>
  <si>
    <t>Transportador a cangilones</t>
  </si>
  <si>
    <t>BPT</t>
  </si>
  <si>
    <t>Bomba (pileta de tratamiento)</t>
  </si>
  <si>
    <t>Proyectado</t>
  </si>
  <si>
    <t>%</t>
  </si>
  <si>
    <t>Energía al mes 
[kW h]</t>
  </si>
  <si>
    <t>Precio [$/kW h]</t>
  </si>
  <si>
    <t>Costo energía mensual</t>
  </si>
  <si>
    <t>Línea completa</t>
  </si>
  <si>
    <t>Energía anual</t>
  </si>
  <si>
    <t>Línea sin SCB</t>
  </si>
  <si>
    <t>Línea desde CT2</t>
  </si>
  <si>
    <t>Actual</t>
  </si>
  <si>
    <t>Potencia [kW]</t>
  </si>
  <si>
    <t>Horas por dias</t>
  </si>
  <si>
    <t>Cantidad de dias</t>
  </si>
  <si>
    <t>$/kW h</t>
  </si>
  <si>
    <t>Total</t>
  </si>
  <si>
    <t>Aumento del consumo eléctrico anual</t>
  </si>
  <si>
    <t>Con molino a cuchillas</t>
  </si>
  <si>
    <t>Con molino a martillos</t>
  </si>
  <si>
    <t>Aumento del consumo eléctrico mensual</t>
  </si>
  <si>
    <t>CATEGORIA</t>
  </si>
  <si>
    <t>AÑO DE 
 INGRESO</t>
  </si>
  <si>
    <t>Horas Total
 hs/mes</t>
  </si>
  <si>
    <t>BASICO</t>
  </si>
  <si>
    <t>ANTIGÜEDAD
 1%*AÑO</t>
  </si>
  <si>
    <t>SUELDO 
 BRUTO</t>
  </si>
  <si>
    <t>SAC
 8,33%</t>
  </si>
  <si>
    <t>PLUS VACACIONAL
 10%</t>
  </si>
  <si>
    <t>CONTRIBUCION 
 PATRONAL 33,5%</t>
  </si>
  <si>
    <t>INDEMNIZACIÓN</t>
  </si>
  <si>
    <t>COSTO TOTAL 
 ESTIMADO</t>
  </si>
  <si>
    <t>Lopez, Victor Germán</t>
  </si>
  <si>
    <t>N3 - Operador</t>
  </si>
  <si>
    <t>$ 378,12</t>
  </si>
  <si>
    <t>$ 76</t>
  </si>
  <si>
    <t>$ 454</t>
  </si>
  <si>
    <t>$ 45</t>
  </si>
  <si>
    <t>$ 180</t>
  </si>
  <si>
    <t>$ 32</t>
  </si>
  <si>
    <t>$ 748,3</t>
  </si>
  <si>
    <t>Lopez, Silvio Omar</t>
  </si>
  <si>
    <t>N4 - Operador Calificado</t>
  </si>
  <si>
    <t>$ 395,04</t>
  </si>
  <si>
    <t>$ 91</t>
  </si>
  <si>
    <t>$ 486</t>
  </si>
  <si>
    <t>$ 40</t>
  </si>
  <si>
    <t>$ 49</t>
  </si>
  <si>
    <t>$ 193</t>
  </si>
  <si>
    <t>$ 33</t>
  </si>
  <si>
    <t>$ 800,5</t>
  </si>
  <si>
    <t>Trabajo actual en el sector</t>
  </si>
  <si>
    <t>Sueldo [$/H]</t>
  </si>
  <si>
    <t>Sueldo anual</t>
  </si>
  <si>
    <t>Total al año</t>
  </si>
  <si>
    <t>Trabajo sector proyectado</t>
  </si>
  <si>
    <t>Diferencia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</si>
</sst>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[$ $]#,##0.00"/>
    <numFmt numFmtId="165" formatCode="[$ $]#,##0"/>
    <numFmt numFmtId="166" formatCode="# &quot;[kg]&quot;"/>
    <numFmt numFmtId="167" formatCode="[$ $]#,##0.0000"/>
  </numFmts>
  <fonts count="12">
    <font>
      <sz val="10.0"/>
      <color rgb="FF000000"/>
      <name val="Arial"/>
    </font>
    <font>
      <b/>
      <sz val="12.0"/>
      <color theme="1"/>
      <name val="Arial"/>
    </font>
    <font/>
    <font>
      <sz val="12.0"/>
      <color theme="1"/>
      <name val="Arial"/>
    </font>
    <font>
      <color theme="1"/>
      <name val="Arial"/>
    </font>
    <font>
      <sz val="11.0"/>
      <color theme="1"/>
      <name val="Arial"/>
    </font>
    <font>
      <b/>
      <sz val="11.0"/>
      <color theme="1"/>
      <name val="Arial"/>
    </font>
    <font>
      <b/>
      <sz val="12.0"/>
      <color rgb="FF000000"/>
      <name val="Arial"/>
    </font>
    <font>
      <sz val="12.0"/>
      <color rgb="FF000000"/>
      <name val="Arial"/>
    </font>
    <font>
      <b/>
      <sz val="12.0"/>
      <color rgb="FF202124"/>
      <name val="Arial"/>
    </font>
    <font>
      <sz val="11.0"/>
      <color rgb="FF000000"/>
      <name val="Calibri"/>
    </font>
    <font>
      <sz val="12.0"/>
      <color rgb="FFFF0000"/>
      <name val="Arial"/>
    </font>
  </fonts>
  <fills count="7">
    <fill>
      <patternFill patternType="none"/>
    </fill>
    <fill>
      <patternFill patternType="lightGray"/>
    </fill>
    <fill>
      <patternFill patternType="solid">
        <fgColor rgb="FFA5F383"/>
        <bgColor rgb="FFA5F383"/>
      </patternFill>
    </fill>
    <fill>
      <patternFill patternType="solid">
        <fgColor rgb="FFF4CCCC"/>
        <bgColor rgb="FFF4CC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9EAD3"/>
        <bgColor rgb="FFD9EAD3"/>
      </patternFill>
    </fill>
  </fills>
  <borders count="51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27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2" fillId="2" fontId="1" numFmtId="0" xfId="0" applyAlignment="1" applyBorder="1" applyFont="1">
      <alignment horizontal="center" readingOrder="0"/>
    </xf>
    <xf borderId="3" fillId="2" fontId="1" numFmtId="0" xfId="0" applyAlignment="1" applyBorder="1" applyFont="1">
      <alignment horizontal="center" readingOrder="0"/>
    </xf>
    <xf borderId="4" fillId="0" fontId="2" numFmtId="0" xfId="0" applyBorder="1" applyFont="1"/>
    <xf borderId="5" fillId="0" fontId="2" numFmtId="0" xfId="0" applyBorder="1" applyFont="1"/>
    <xf borderId="0" fillId="0" fontId="3" numFmtId="0" xfId="0" applyFont="1"/>
    <xf borderId="6" fillId="2" fontId="3" numFmtId="0" xfId="0" applyAlignment="1" applyBorder="1" applyFont="1">
      <alignment readingOrder="0"/>
    </xf>
    <xf borderId="7" fillId="0" fontId="2" numFmtId="0" xfId="0" applyBorder="1" applyFont="1"/>
    <xf borderId="2" fillId="0" fontId="3" numFmtId="9" xfId="0" applyAlignment="1" applyBorder="1" applyFont="1" applyNumberFormat="1">
      <alignment horizontal="center" readingOrder="0"/>
    </xf>
    <xf borderId="8" fillId="0" fontId="2" numFmtId="0" xfId="0" applyBorder="1" applyFont="1"/>
    <xf borderId="9" fillId="2" fontId="1" numFmtId="0" xfId="0" applyAlignment="1" applyBorder="1" applyFont="1">
      <alignment horizontal="center" readingOrder="0"/>
    </xf>
    <xf borderId="10" fillId="2" fontId="1" numFmtId="0" xfId="0" applyAlignment="1" applyBorder="1" applyFont="1">
      <alignment horizontal="center" readingOrder="0"/>
    </xf>
    <xf borderId="11" fillId="0" fontId="3" numFmtId="0" xfId="0" applyAlignment="1" applyBorder="1" applyFont="1">
      <alignment readingOrder="0"/>
    </xf>
    <xf borderId="12" fillId="0" fontId="3" numFmtId="164" xfId="0" applyAlignment="1" applyBorder="1" applyFont="1" applyNumberFormat="1">
      <alignment readingOrder="0"/>
    </xf>
    <xf borderId="12" fillId="0" fontId="3" numFmtId="0" xfId="0" applyBorder="1" applyFont="1"/>
    <xf borderId="13" fillId="0" fontId="3" numFmtId="0" xfId="0" applyBorder="1" applyFont="1"/>
    <xf borderId="6" fillId="2" fontId="1" numFmtId="0" xfId="0" applyAlignment="1" applyBorder="1" applyFont="1">
      <alignment readingOrder="0"/>
    </xf>
    <xf borderId="2" fillId="0" fontId="1" numFmtId="9" xfId="0" applyAlignment="1" applyBorder="1" applyFont="1" applyNumberFormat="1">
      <alignment horizontal="center" readingOrder="0"/>
    </xf>
    <xf borderId="14" fillId="0" fontId="3" numFmtId="0" xfId="0" applyAlignment="1" applyBorder="1" applyFont="1">
      <alignment readingOrder="0"/>
    </xf>
    <xf borderId="2" fillId="0" fontId="3" numFmtId="0" xfId="0" applyBorder="1" applyFont="1"/>
    <xf borderId="2" fillId="0" fontId="3" numFmtId="164" xfId="0" applyBorder="1" applyFont="1" applyNumberFormat="1"/>
    <xf borderId="15" fillId="0" fontId="3" numFmtId="164" xfId="0" applyBorder="1" applyFont="1" applyNumberFormat="1"/>
    <xf borderId="2" fillId="0" fontId="1" numFmtId="164" xfId="0" applyAlignment="1" applyBorder="1" applyFont="1" applyNumberFormat="1">
      <alignment horizontal="center" readingOrder="0"/>
    </xf>
    <xf borderId="2" fillId="0" fontId="3" numFmtId="164" xfId="0" applyAlignment="1" applyBorder="1" applyFont="1" applyNumberFormat="1">
      <alignment readingOrder="0"/>
    </xf>
    <xf borderId="15" fillId="0" fontId="3" numFmtId="164" xfId="0" applyAlignment="1" applyBorder="1" applyFont="1" applyNumberFormat="1">
      <alignment readingOrder="0"/>
    </xf>
    <xf borderId="16" fillId="0" fontId="3" numFmtId="0" xfId="0" applyAlignment="1" applyBorder="1" applyFont="1">
      <alignment readingOrder="0"/>
    </xf>
    <xf borderId="17" fillId="0" fontId="3" numFmtId="0" xfId="0" applyBorder="1" applyFont="1"/>
    <xf borderId="17" fillId="0" fontId="3" numFmtId="164" xfId="0" applyBorder="1" applyFont="1" applyNumberFormat="1"/>
    <xf borderId="18" fillId="0" fontId="3" numFmtId="164" xfId="0" applyBorder="1" applyFont="1" applyNumberFormat="1"/>
    <xf borderId="19" fillId="2" fontId="1" numFmtId="0" xfId="0" applyAlignment="1" applyBorder="1" applyFont="1">
      <alignment horizontal="center" readingOrder="0"/>
    </xf>
    <xf borderId="20" fillId="0" fontId="3" numFmtId="164" xfId="0" applyBorder="1" applyFont="1" applyNumberFormat="1"/>
    <xf borderId="21" fillId="0" fontId="3" numFmtId="164" xfId="0" applyBorder="1" applyFont="1" applyNumberFormat="1"/>
    <xf borderId="8" fillId="2" fontId="1" numFmtId="0" xfId="0" applyAlignment="1" applyBorder="1" applyFont="1">
      <alignment horizontal="center" readingOrder="0"/>
    </xf>
    <xf borderId="22" fillId="0" fontId="1" numFmtId="164" xfId="0" applyBorder="1" applyFont="1" applyNumberFormat="1"/>
    <xf borderId="22" fillId="3" fontId="1" numFmtId="164" xfId="0" applyBorder="1" applyFill="1" applyFont="1" applyNumberFormat="1"/>
    <xf borderId="0" fillId="0" fontId="3" numFmtId="0" xfId="0" applyAlignment="1" applyFont="1">
      <alignment readingOrder="0"/>
    </xf>
    <xf borderId="17" fillId="2" fontId="1" numFmtId="0" xfId="0" applyAlignment="1" applyBorder="1" applyFont="1">
      <alignment horizontal="center" readingOrder="0" vertical="center"/>
    </xf>
    <xf borderId="6" fillId="2" fontId="1" numFmtId="0" xfId="0" applyAlignment="1" applyBorder="1" applyFont="1">
      <alignment horizontal="center" readingOrder="0"/>
    </xf>
    <xf borderId="23" fillId="0" fontId="2" numFmtId="0" xfId="0" applyBorder="1" applyFont="1"/>
    <xf borderId="12" fillId="0" fontId="2" numFmtId="0" xfId="0" applyBorder="1" applyFont="1"/>
    <xf borderId="2" fillId="0" fontId="3" numFmtId="0" xfId="0" applyAlignment="1" applyBorder="1" applyFont="1">
      <alignment readingOrder="0"/>
    </xf>
    <xf borderId="6" fillId="0" fontId="3" numFmtId="0" xfId="0" applyBorder="1" applyFont="1"/>
    <xf borderId="2" fillId="0" fontId="1" numFmtId="164" xfId="0" applyBorder="1" applyFont="1" applyNumberFormat="1"/>
    <xf borderId="2" fillId="0" fontId="4" numFmtId="0" xfId="0" applyBorder="1" applyFont="1"/>
    <xf borderId="0" fillId="0" fontId="3" numFmtId="164" xfId="0" applyFont="1" applyNumberFormat="1"/>
    <xf borderId="6" fillId="0" fontId="3" numFmtId="164" xfId="0" applyAlignment="1" applyBorder="1" applyFont="1" applyNumberFormat="1">
      <alignment readingOrder="0"/>
    </xf>
    <xf borderId="2" fillId="0" fontId="1" numFmtId="164" xfId="0" applyAlignment="1" applyBorder="1" applyFont="1" applyNumberFormat="1">
      <alignment readingOrder="0"/>
    </xf>
    <xf borderId="6" fillId="0" fontId="3" numFmtId="164" xfId="0" applyBorder="1" applyFont="1" applyNumberFormat="1"/>
    <xf borderId="17" fillId="0" fontId="3" numFmtId="0" xfId="0" applyAlignment="1" applyBorder="1" applyFont="1">
      <alignment readingOrder="0"/>
    </xf>
    <xf borderId="24" fillId="0" fontId="3" numFmtId="164" xfId="0" applyBorder="1" applyFont="1" applyNumberFormat="1"/>
    <xf borderId="2" fillId="0" fontId="3" numFmtId="164" xfId="0" applyBorder="1" applyFont="1" applyNumberFormat="1"/>
    <xf borderId="2" fillId="0" fontId="3" numFmtId="164" xfId="0" applyAlignment="1" applyBorder="1" applyFont="1" applyNumberFormat="1">
      <alignment readingOrder="0"/>
    </xf>
    <xf borderId="6" fillId="0" fontId="3" numFmtId="164" xfId="0" applyBorder="1" applyFont="1" applyNumberFormat="1"/>
    <xf borderId="17" fillId="2" fontId="1" numFmtId="0" xfId="0" applyAlignment="1" applyBorder="1" applyFont="1">
      <alignment horizontal="center" readingOrder="0"/>
    </xf>
    <xf borderId="17" fillId="0" fontId="1" numFmtId="164" xfId="0" applyBorder="1" applyFont="1" applyNumberFormat="1"/>
    <xf borderId="25" fillId="0" fontId="3" numFmtId="0" xfId="0" applyBorder="1" applyFont="1"/>
    <xf borderId="25" fillId="0" fontId="1" numFmtId="164" xfId="0" applyBorder="1" applyFont="1" applyNumberFormat="1"/>
    <xf borderId="2" fillId="0" fontId="1" numFmtId="164" xfId="0" applyBorder="1" applyFont="1" applyNumberFormat="1"/>
    <xf borderId="2" fillId="4" fontId="1" numFmtId="164" xfId="0" applyBorder="1" applyFill="1" applyFont="1" applyNumberFormat="1"/>
    <xf borderId="0" fillId="4" fontId="1" numFmtId="164" xfId="0" applyFont="1" applyNumberFormat="1"/>
    <xf borderId="26" fillId="2" fontId="1" numFmtId="0" xfId="0" applyAlignment="1" applyBorder="1" applyFont="1">
      <alignment horizontal="center" readingOrder="0"/>
    </xf>
    <xf borderId="27" fillId="0" fontId="2" numFmtId="0" xfId="0" applyBorder="1" applyFont="1"/>
    <xf borderId="28" fillId="0" fontId="2" numFmtId="0" xfId="0" applyBorder="1" applyFont="1"/>
    <xf borderId="29" fillId="2" fontId="1" numFmtId="0" xfId="0" applyAlignment="1" applyBorder="1" applyFont="1">
      <alignment horizontal="center" readingOrder="0" vertical="center"/>
    </xf>
    <xf borderId="2" fillId="4" fontId="3" numFmtId="0" xfId="0" applyBorder="1" applyFont="1"/>
    <xf borderId="2" fillId="5" fontId="3" numFmtId="164" xfId="0" applyBorder="1" applyFill="1" applyFont="1" applyNumberFormat="1"/>
    <xf borderId="0" fillId="2" fontId="1" numFmtId="0" xfId="0" applyAlignment="1" applyFont="1">
      <alignment horizontal="center" readingOrder="0" shrinkToFit="0" vertical="center" wrapText="1"/>
    </xf>
    <xf borderId="0" fillId="2" fontId="1" numFmtId="0" xfId="0" applyAlignment="1" applyFont="1">
      <alignment horizontal="center" readingOrder="0"/>
    </xf>
    <xf borderId="0" fillId="2" fontId="3" numFmtId="0" xfId="0" applyAlignment="1" applyFont="1">
      <alignment readingOrder="0"/>
    </xf>
    <xf borderId="0" fillId="0" fontId="3" numFmtId="9" xfId="0" applyAlignment="1" applyFont="1" applyNumberFormat="1">
      <alignment horizontal="center" readingOrder="0"/>
    </xf>
    <xf borderId="1" fillId="2" fontId="1" numFmtId="0" xfId="0" applyAlignment="1" applyBorder="1" applyFont="1">
      <alignment horizontal="center" readingOrder="0" shrinkToFit="0" vertical="center" wrapText="1"/>
    </xf>
    <xf borderId="30" fillId="2" fontId="1" numFmtId="0" xfId="0" applyAlignment="1" applyBorder="1" applyFont="1">
      <alignment horizontal="center" readingOrder="0" vertical="center"/>
    </xf>
    <xf borderId="22" fillId="0" fontId="2" numFmtId="0" xfId="0" applyBorder="1" applyFont="1"/>
    <xf borderId="0" fillId="0" fontId="5" numFmtId="0" xfId="0" applyAlignment="1" applyFont="1">
      <alignment readingOrder="0" shrinkToFit="0" vertical="center" wrapText="1"/>
    </xf>
    <xf borderId="11" fillId="0" fontId="5" numFmtId="0" xfId="0" applyAlignment="1" applyBorder="1" applyFont="1">
      <alignment readingOrder="0" shrinkToFit="0" vertical="center" wrapText="1"/>
    </xf>
    <xf borderId="12" fillId="0" fontId="3" numFmtId="165" xfId="0" applyAlignment="1" applyBorder="1" applyFont="1" applyNumberFormat="1">
      <alignment readingOrder="0" vertical="center"/>
    </xf>
    <xf borderId="12" fillId="0" fontId="3" numFmtId="165" xfId="0" applyAlignment="1" applyBorder="1" applyFont="1" applyNumberFormat="1">
      <alignment vertical="center"/>
    </xf>
    <xf borderId="13" fillId="0" fontId="3" numFmtId="165" xfId="0" applyAlignment="1" applyBorder="1" applyFont="1" applyNumberFormat="1">
      <alignment vertical="center"/>
    </xf>
    <xf borderId="14" fillId="0" fontId="5" numFmtId="0" xfId="0" applyAlignment="1" applyBorder="1" applyFont="1">
      <alignment readingOrder="0" shrinkToFit="0" vertical="center" wrapText="1"/>
    </xf>
    <xf borderId="2" fillId="0" fontId="3" numFmtId="165" xfId="0" applyAlignment="1" applyBorder="1" applyFont="1" applyNumberFormat="1">
      <alignment vertical="center"/>
    </xf>
    <xf borderId="15" fillId="0" fontId="3" numFmtId="165" xfId="0" applyAlignment="1" applyBorder="1" applyFont="1" applyNumberFormat="1">
      <alignment vertical="center"/>
    </xf>
    <xf borderId="2" fillId="2" fontId="1" numFmtId="0" xfId="0" applyAlignment="1" applyBorder="1" applyFont="1">
      <alignment readingOrder="0"/>
    </xf>
    <xf borderId="2" fillId="0" fontId="3" numFmtId="0" xfId="0" applyAlignment="1" applyBorder="1" applyFont="1">
      <alignment vertical="center"/>
    </xf>
    <xf borderId="0" fillId="0" fontId="5" numFmtId="0" xfId="0" applyAlignment="1" applyFont="1">
      <alignment readingOrder="0" shrinkToFit="0" wrapText="1"/>
    </xf>
    <xf borderId="14" fillId="0" fontId="5" numFmtId="0" xfId="0" applyAlignment="1" applyBorder="1" applyFont="1">
      <alignment readingOrder="0" shrinkToFit="0" wrapText="1"/>
    </xf>
    <xf borderId="2" fillId="0" fontId="3" numFmtId="165" xfId="0" applyAlignment="1" applyBorder="1" applyFont="1" applyNumberFormat="1">
      <alignment readingOrder="0" vertical="center"/>
    </xf>
    <xf borderId="15" fillId="0" fontId="3" numFmtId="165" xfId="0" applyAlignment="1" applyBorder="1" applyFont="1" applyNumberFormat="1">
      <alignment readingOrder="0" vertical="center"/>
    </xf>
    <xf borderId="16" fillId="0" fontId="5" numFmtId="0" xfId="0" applyAlignment="1" applyBorder="1" applyFont="1">
      <alignment readingOrder="0" shrinkToFit="0" vertical="center" wrapText="1"/>
    </xf>
    <xf borderId="17" fillId="0" fontId="3" numFmtId="165" xfId="0" applyAlignment="1" applyBorder="1" applyFont="1" applyNumberFormat="1">
      <alignment vertical="center"/>
    </xf>
    <xf borderId="18" fillId="0" fontId="3" numFmtId="165" xfId="0" applyAlignment="1" applyBorder="1" applyFont="1" applyNumberFormat="1">
      <alignment vertical="center"/>
    </xf>
    <xf borderId="0" fillId="2" fontId="6" numFmtId="0" xfId="0" applyAlignment="1" applyFont="1">
      <alignment horizontal="center" readingOrder="0" shrinkToFit="0" vertical="center" wrapText="1"/>
    </xf>
    <xf borderId="19" fillId="2" fontId="6" numFmtId="0" xfId="0" applyAlignment="1" applyBorder="1" applyFont="1">
      <alignment horizontal="center" readingOrder="0" shrinkToFit="0" vertical="center" wrapText="1"/>
    </xf>
    <xf borderId="20" fillId="0" fontId="3" numFmtId="165" xfId="0" applyAlignment="1" applyBorder="1" applyFont="1" applyNumberFormat="1">
      <alignment vertical="center"/>
    </xf>
    <xf borderId="21" fillId="0" fontId="3" numFmtId="165" xfId="0" applyAlignment="1" applyBorder="1" applyFont="1" applyNumberFormat="1">
      <alignment vertical="center"/>
    </xf>
    <xf borderId="8" fillId="2" fontId="6" numFmtId="0" xfId="0" applyAlignment="1" applyBorder="1" applyFont="1">
      <alignment horizontal="center" readingOrder="0" shrinkToFit="0" vertical="center" wrapText="1"/>
    </xf>
    <xf borderId="22" fillId="0" fontId="1" numFmtId="165" xfId="0" applyAlignment="1" applyBorder="1" applyFont="1" applyNumberFormat="1">
      <alignment vertical="center"/>
    </xf>
    <xf borderId="22" fillId="3" fontId="1" numFmtId="165" xfId="0" applyAlignment="1" applyBorder="1" applyFont="1" applyNumberFormat="1">
      <alignment vertical="center"/>
    </xf>
    <xf borderId="0" fillId="2" fontId="1" numFmtId="0" xfId="0" applyAlignment="1" applyFont="1">
      <alignment horizontal="center" readingOrder="0" vertical="center"/>
    </xf>
    <xf borderId="17" fillId="2" fontId="1" numFmtId="0" xfId="0" applyAlignment="1" applyBorder="1" applyFont="1">
      <alignment horizontal="center" readingOrder="0" textRotation="90" vertical="center"/>
    </xf>
    <xf borderId="29" fillId="0" fontId="2" numFmtId="0" xfId="0" applyBorder="1" applyFont="1"/>
    <xf borderId="2" fillId="2" fontId="7" numFmtId="0" xfId="0" applyAlignment="1" applyBorder="1" applyFont="1">
      <alignment horizontal="center" readingOrder="0" shrinkToFit="0" wrapText="1"/>
    </xf>
    <xf borderId="15" fillId="2" fontId="1" numFmtId="0" xfId="0" applyAlignment="1" applyBorder="1" applyFont="1">
      <alignment horizontal="center" readingOrder="0"/>
    </xf>
    <xf borderId="7" fillId="2" fontId="1" numFmtId="0" xfId="0" applyAlignment="1" applyBorder="1" applyFont="1">
      <alignment horizontal="center" readingOrder="0"/>
    </xf>
    <xf borderId="2" fillId="0" fontId="8" numFmtId="0" xfId="0" applyAlignment="1" applyBorder="1" applyFont="1">
      <alignment horizontal="left" readingOrder="0" shrinkToFit="0" wrapText="1"/>
    </xf>
    <xf borderId="2" fillId="0" fontId="8" numFmtId="164" xfId="0" applyAlignment="1" applyBorder="1" applyFont="1" applyNumberFormat="1">
      <alignment horizontal="center" readingOrder="0" shrinkToFit="0" wrapText="1"/>
    </xf>
    <xf borderId="2" fillId="0" fontId="3" numFmtId="0" xfId="0" applyAlignment="1" applyBorder="1" applyFont="1">
      <alignment horizontal="right" readingOrder="0"/>
    </xf>
    <xf borderId="7" fillId="0" fontId="3" numFmtId="0" xfId="0" applyAlignment="1" applyBorder="1" applyFont="1">
      <alignment horizontal="right" readingOrder="0"/>
    </xf>
    <xf borderId="7" fillId="0" fontId="8" numFmtId="0" xfId="0" applyAlignment="1" applyBorder="1" applyFont="1">
      <alignment horizontal="center" readingOrder="0" shrinkToFit="0" wrapText="1"/>
    </xf>
    <xf borderId="15" fillId="3" fontId="1" numFmtId="164" xfId="0" applyBorder="1" applyFont="1" applyNumberFormat="1"/>
    <xf borderId="2" fillId="3" fontId="1" numFmtId="164" xfId="0" applyBorder="1" applyFont="1" applyNumberFormat="1"/>
    <xf borderId="2" fillId="0" fontId="7" numFmtId="0" xfId="0" applyAlignment="1" applyBorder="1" applyFon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wrapText="1"/>
    </xf>
    <xf borderId="6" fillId="0" fontId="7" numFmtId="0" xfId="0" applyAlignment="1" applyBorder="1" applyFont="1">
      <alignment horizontal="center" readingOrder="0" shrinkToFit="0" vertical="center" wrapText="1"/>
    </xf>
    <xf borderId="0" fillId="0" fontId="3" numFmtId="0" xfId="0" applyAlignment="1" applyFont="1">
      <alignment vertical="center"/>
    </xf>
    <xf borderId="2" fillId="0" fontId="7" numFmtId="0" xfId="0" applyAlignment="1" applyBorder="1" applyFont="1">
      <alignment horizontal="center" readingOrder="0" shrinkToFit="0" vertical="center" wrapText="1"/>
    </xf>
    <xf borderId="2" fillId="0" fontId="8" numFmtId="0" xfId="0" applyAlignment="1" applyBorder="1" applyFont="1">
      <alignment horizontal="left" readingOrder="0" shrinkToFit="0" vertical="center" wrapText="1"/>
    </xf>
    <xf borderId="2" fillId="0" fontId="8" numFmtId="0" xfId="0" applyAlignment="1" applyBorder="1" applyFont="1">
      <alignment horizontal="center" readingOrder="0" shrinkToFit="0" vertical="center" wrapText="1"/>
    </xf>
    <xf borderId="2" fillId="0" fontId="3" numFmtId="0" xfId="0" applyAlignment="1" applyBorder="1" applyFont="1">
      <alignment horizontal="left" shrinkToFit="0" vertical="center" wrapText="1"/>
    </xf>
    <xf borderId="6" fillId="0" fontId="8" numFmtId="0" xfId="0" applyAlignment="1" applyBorder="1" applyFont="1">
      <alignment horizontal="center" readingOrder="0" shrinkToFit="0" vertical="center" wrapText="1"/>
    </xf>
    <xf borderId="6" fillId="0" fontId="9" numFmtId="0" xfId="0" applyAlignment="1" applyBorder="1" applyFont="1">
      <alignment horizontal="center" readingOrder="0" shrinkToFit="0" vertical="center" wrapText="1"/>
    </xf>
    <xf borderId="6" fillId="0" fontId="8" numFmtId="0" xfId="0" applyAlignment="1" applyBorder="1" applyFont="1">
      <alignment horizontal="left" readingOrder="0" shrinkToFit="0" vertical="center" wrapText="1"/>
    </xf>
    <xf borderId="27" fillId="0" fontId="3" numFmtId="0" xfId="0" applyAlignment="1" applyBorder="1" applyFont="1">
      <alignment vertical="center"/>
    </xf>
    <xf borderId="17" fillId="0" fontId="8" numFmtId="0" xfId="0" applyAlignment="1" applyBorder="1" applyFont="1">
      <alignment horizontal="center" readingOrder="0" shrinkToFit="0" vertical="center" wrapText="1"/>
    </xf>
    <xf borderId="2" fillId="2" fontId="1" numFmtId="0" xfId="0" applyAlignment="1" applyBorder="1" applyFont="1">
      <alignment horizontal="center" readingOrder="0" shrinkToFit="0" vertical="center" wrapText="1"/>
    </xf>
    <xf borderId="6" fillId="2" fontId="1" numFmtId="0" xfId="0" applyAlignment="1" applyBorder="1" applyFont="1">
      <alignment horizontal="center" readingOrder="0" shrinkToFit="0" vertical="center" wrapText="1"/>
    </xf>
    <xf borderId="2" fillId="0" fontId="3" numFmtId="0" xfId="0" applyAlignment="1" applyBorder="1" applyFont="1">
      <alignment horizontal="center" readingOrder="0" vertical="center"/>
    </xf>
    <xf borderId="2" fillId="0" fontId="3" numFmtId="0" xfId="0" applyAlignment="1" applyBorder="1" applyFont="1">
      <alignment horizontal="center" readingOrder="0" shrinkToFit="0" vertical="center" wrapText="1"/>
    </xf>
    <xf borderId="6" fillId="0" fontId="3" numFmtId="0" xfId="0" applyAlignment="1" applyBorder="1" applyFont="1">
      <alignment readingOrder="0" shrinkToFit="0" vertical="center" wrapText="1"/>
    </xf>
    <xf borderId="0" fillId="0" fontId="1" numFmtId="0" xfId="0" applyAlignment="1" applyFont="1">
      <alignment horizontal="center" readingOrder="0" vertical="center"/>
    </xf>
    <xf borderId="2" fillId="2" fontId="8" numFmtId="0" xfId="0" applyAlignment="1" applyBorder="1" applyFont="1">
      <alignment horizontal="center" shrinkToFit="0" wrapText="1"/>
    </xf>
    <xf borderId="6" fillId="2" fontId="7" numFmtId="0" xfId="0" applyAlignment="1" applyBorder="1" applyFont="1">
      <alignment horizontal="center" readingOrder="0" shrinkToFit="0" wrapText="1"/>
    </xf>
    <xf borderId="2" fillId="2" fontId="7" numFmtId="0" xfId="0" applyAlignment="1" applyBorder="1" applyFont="1">
      <alignment horizontal="center" readingOrder="0" shrinkToFit="0" vertical="center" wrapText="1"/>
    </xf>
    <xf borderId="17" fillId="0" fontId="3" numFmtId="164" xfId="0" applyAlignment="1" applyBorder="1" applyFont="1" applyNumberFormat="1">
      <alignment horizontal="center" readingOrder="0" shrinkToFit="0" vertical="center" wrapText="1"/>
    </xf>
    <xf borderId="2" fillId="0" fontId="3" numFmtId="164" xfId="0" applyAlignment="1" applyBorder="1" applyFont="1" applyNumberFormat="1">
      <alignment horizontal="right" shrinkToFit="0" vertical="center" wrapText="1"/>
    </xf>
    <xf borderId="2" fillId="6" fontId="7" numFmtId="164" xfId="0" applyAlignment="1" applyBorder="1" applyFill="1" applyFont="1" applyNumberFormat="1">
      <alignment horizontal="right" readingOrder="0" shrinkToFit="0" vertical="center" wrapText="1"/>
    </xf>
    <xf borderId="0" fillId="0" fontId="7" numFmtId="0" xfId="0" applyAlignment="1" applyFont="1">
      <alignment horizontal="center" readingOrder="0" shrinkToFit="0" wrapText="1"/>
    </xf>
    <xf borderId="0" fillId="0" fontId="7" numFmtId="0" xfId="0" applyAlignment="1" applyFont="1">
      <alignment horizontal="center" readingOrder="0" shrinkToFit="0" wrapText="0"/>
    </xf>
    <xf borderId="0" fillId="0" fontId="8" numFmtId="0" xfId="0" applyAlignment="1" applyFont="1">
      <alignment horizontal="center" readingOrder="0" shrinkToFit="0" wrapText="1"/>
    </xf>
    <xf borderId="0" fillId="0" fontId="8" numFmtId="0" xfId="0" applyAlignment="1" applyFont="1">
      <alignment readingOrder="0" shrinkToFit="0" vertical="bottom" wrapText="0"/>
    </xf>
    <xf borderId="0" fillId="0" fontId="10" numFmtId="164" xfId="0" applyAlignment="1" applyFont="1" applyNumberFormat="1">
      <alignment horizontal="center" readingOrder="0" shrinkToFit="0" vertical="center" wrapText="0"/>
    </xf>
    <xf borderId="0" fillId="0" fontId="4" numFmtId="0" xfId="0" applyAlignment="1" applyFont="1">
      <alignment readingOrder="0"/>
    </xf>
    <xf borderId="17" fillId="2" fontId="3" numFmtId="0" xfId="0" applyBorder="1" applyFont="1"/>
    <xf borderId="17" fillId="2" fontId="7" numFmtId="0" xfId="0" applyAlignment="1" applyBorder="1" applyFont="1">
      <alignment horizontal="center" readingOrder="0" shrinkToFit="0" vertical="center" wrapText="1"/>
    </xf>
    <xf borderId="17" fillId="2" fontId="1" numFmtId="0" xfId="0" applyAlignment="1" applyBorder="1" applyFont="1">
      <alignment horizontal="center" readingOrder="0" shrinkToFit="0" vertical="center" wrapText="1"/>
    </xf>
    <xf borderId="2" fillId="0" fontId="3" numFmtId="0" xfId="0" applyAlignment="1" applyBorder="1" applyFont="1">
      <alignment vertical="bottom"/>
    </xf>
    <xf borderId="2" fillId="0" fontId="3" numFmtId="164" xfId="0" applyAlignment="1" applyBorder="1" applyFont="1" applyNumberFormat="1">
      <alignment readingOrder="0" vertical="bottom"/>
    </xf>
    <xf borderId="2" fillId="0" fontId="3" numFmtId="164" xfId="0" applyAlignment="1" applyBorder="1" applyFont="1" applyNumberFormat="1">
      <alignment horizontal="right" vertical="bottom"/>
    </xf>
    <xf borderId="2" fillId="0" fontId="3" numFmtId="164" xfId="0" applyAlignment="1" applyBorder="1" applyFont="1" applyNumberFormat="1">
      <alignment vertical="bottom"/>
    </xf>
    <xf borderId="0" fillId="0" fontId="3" numFmtId="2" xfId="0" applyAlignment="1" applyFont="1" applyNumberFormat="1">
      <alignment readingOrder="0"/>
    </xf>
    <xf borderId="0" fillId="0" fontId="4" numFmtId="2" xfId="0" applyFont="1" applyNumberFormat="1"/>
    <xf borderId="17" fillId="0" fontId="1" numFmtId="0" xfId="0" applyAlignment="1" applyBorder="1" applyFont="1">
      <alignment horizontal="center" readingOrder="0"/>
    </xf>
    <xf borderId="17" fillId="0" fontId="1" numFmtId="164" xfId="0" applyAlignment="1" applyBorder="1" applyFont="1" applyNumberFormat="1">
      <alignment horizontal="center"/>
    </xf>
    <xf borderId="23" fillId="5" fontId="1" numFmtId="0" xfId="0" applyAlignment="1" applyBorder="1" applyFont="1">
      <alignment horizontal="center" readingOrder="0" shrinkToFit="0" vertical="center" wrapText="1"/>
    </xf>
    <xf borderId="23" fillId="5" fontId="3" numFmtId="0" xfId="0" applyAlignment="1" applyBorder="1" applyFont="1">
      <alignment readingOrder="0" vertical="bottom"/>
    </xf>
    <xf borderId="23" fillId="5" fontId="3" numFmtId="164" xfId="0" applyAlignment="1" applyBorder="1" applyFont="1" applyNumberFormat="1">
      <alignment horizontal="right" readingOrder="0" vertical="bottom"/>
    </xf>
    <xf borderId="2" fillId="0" fontId="3" numFmtId="0" xfId="0" applyAlignment="1" applyBorder="1" applyFont="1">
      <alignment readingOrder="0" vertical="bottom"/>
    </xf>
    <xf borderId="2" fillId="0" fontId="3" numFmtId="164" xfId="0" applyAlignment="1" applyBorder="1" applyFont="1" applyNumberFormat="1">
      <alignment horizontal="right" readingOrder="0" vertical="bottom"/>
    </xf>
    <xf borderId="2" fillId="2" fontId="3" numFmtId="0" xfId="0" applyBorder="1" applyFont="1"/>
    <xf borderId="2" fillId="0" fontId="1" numFmtId="0" xfId="0" applyAlignment="1" applyBorder="1" applyFont="1">
      <alignment horizontal="center" readingOrder="0"/>
    </xf>
    <xf borderId="2" fillId="0" fontId="1" numFmtId="164" xfId="0" applyAlignment="1" applyBorder="1" applyFont="1" applyNumberFormat="1">
      <alignment horizontal="center"/>
    </xf>
    <xf borderId="2" fillId="0" fontId="3" numFmtId="166" xfId="0" applyBorder="1" applyFont="1" applyNumberFormat="1"/>
    <xf borderId="2" fillId="6" fontId="1" numFmtId="164" xfId="0" applyAlignment="1" applyBorder="1" applyFont="1" applyNumberFormat="1">
      <alignment horizontal="center"/>
    </xf>
    <xf borderId="0" fillId="4" fontId="10" numFmtId="0" xfId="0" applyAlignment="1" applyFont="1">
      <alignment horizontal="left" readingOrder="0" shrinkToFit="0" vertical="bottom" wrapText="0"/>
    </xf>
    <xf borderId="2" fillId="4" fontId="3" numFmtId="9" xfId="0" applyAlignment="1" applyBorder="1" applyFont="1" applyNumberFormat="1">
      <alignment horizontal="center" readingOrder="0" shrinkToFit="0" vertical="bottom" wrapText="0"/>
    </xf>
    <xf borderId="2" fillId="0" fontId="3" numFmtId="164" xfId="0" applyAlignment="1" applyBorder="1" applyFont="1" applyNumberFormat="1">
      <alignment horizontal="center" readingOrder="0" shrinkToFit="0" vertical="bottom" wrapText="0"/>
    </xf>
    <xf borderId="6" fillId="4" fontId="3" numFmtId="0" xfId="0" applyAlignment="1" applyBorder="1" applyFont="1">
      <alignment readingOrder="0" shrinkToFit="0" vertical="bottom" wrapText="0"/>
    </xf>
    <xf borderId="6" fillId="4" fontId="3" numFmtId="0" xfId="0" applyAlignment="1" applyBorder="1" applyFont="1">
      <alignment horizontal="left" readingOrder="0" shrinkToFit="0" vertical="bottom" wrapText="0"/>
    </xf>
    <xf borderId="2" fillId="4" fontId="1" numFmtId="9" xfId="0" applyAlignment="1" applyBorder="1" applyFont="1" applyNumberFormat="1">
      <alignment horizontal="center" readingOrder="0" shrinkToFit="0" vertical="bottom" wrapText="0"/>
    </xf>
    <xf borderId="6" fillId="4" fontId="1" numFmtId="0" xfId="0" applyAlignment="1" applyBorder="1" applyFont="1">
      <alignment horizontal="center" readingOrder="0" shrinkToFit="0" vertical="bottom" wrapText="0"/>
    </xf>
    <xf borderId="2" fillId="0" fontId="1" numFmtId="164" xfId="0" applyAlignment="1" applyBorder="1" applyFont="1" applyNumberFormat="1">
      <alignment horizontal="center" readingOrder="0" shrinkToFit="0" vertical="bottom" wrapText="0"/>
    </xf>
    <xf borderId="0" fillId="0" fontId="4" numFmtId="164" xfId="0" applyFont="1" applyNumberFormat="1"/>
    <xf borderId="0" fillId="0" fontId="4" numFmtId="0" xfId="0" applyFont="1"/>
    <xf borderId="2" fillId="6" fontId="1" numFmtId="164" xfId="0" applyBorder="1" applyFont="1" applyNumberFormat="1"/>
    <xf borderId="31" fillId="2" fontId="7" numFmtId="0" xfId="0" applyAlignment="1" applyBorder="1" applyFont="1">
      <alignment horizontal="center" readingOrder="0" shrinkToFit="0" wrapText="1"/>
    </xf>
    <xf borderId="32" fillId="0" fontId="4" numFmtId="0" xfId="0" applyBorder="1" applyFont="1"/>
    <xf borderId="15" fillId="2" fontId="7" numFmtId="0" xfId="0" applyAlignment="1" applyBorder="1" applyFont="1">
      <alignment horizontal="center" readingOrder="0" shrinkToFit="0" wrapText="1"/>
    </xf>
    <xf borderId="2" fillId="0" fontId="3" numFmtId="164" xfId="0" applyAlignment="1" applyBorder="1" applyFont="1" applyNumberFormat="1">
      <alignment horizontal="center" readingOrder="0"/>
    </xf>
    <xf borderId="15" fillId="0" fontId="3" numFmtId="164" xfId="0" applyAlignment="1" applyBorder="1" applyFont="1" applyNumberFormat="1">
      <alignment horizontal="center"/>
    </xf>
    <xf borderId="0" fillId="0" fontId="3" numFmtId="0" xfId="0" applyAlignment="1" applyFont="1">
      <alignment horizontal="center"/>
    </xf>
    <xf borderId="33" fillId="0" fontId="3" numFmtId="0" xfId="0" applyAlignment="1" applyBorder="1" applyFont="1">
      <alignment horizontal="center"/>
    </xf>
    <xf borderId="34" fillId="0" fontId="3" numFmtId="0" xfId="0" applyAlignment="1" applyBorder="1" applyFont="1">
      <alignment readingOrder="0" shrinkToFit="0" wrapText="1"/>
    </xf>
    <xf borderId="35" fillId="0" fontId="2" numFmtId="0" xfId="0" applyBorder="1" applyFont="1"/>
    <xf borderId="2" fillId="0" fontId="3" numFmtId="0" xfId="0" applyAlignment="1" applyBorder="1" applyFont="1">
      <alignment horizontal="center" readingOrder="0"/>
    </xf>
    <xf borderId="15" fillId="0" fontId="3" numFmtId="0" xfId="0" applyAlignment="1" applyBorder="1" applyFont="1">
      <alignment horizontal="center" readingOrder="0"/>
    </xf>
    <xf borderId="32" fillId="0" fontId="2" numFmtId="0" xfId="0" applyBorder="1" applyFont="1"/>
    <xf borderId="36" fillId="0" fontId="2" numFmtId="0" xfId="0" applyBorder="1" applyFont="1"/>
    <xf borderId="18" fillId="0" fontId="3" numFmtId="164" xfId="0" applyAlignment="1" applyBorder="1" applyFont="1" applyNumberFormat="1">
      <alignment horizontal="center" readingOrder="0" vertical="center"/>
    </xf>
    <xf borderId="37" fillId="0" fontId="2" numFmtId="0" xfId="0" applyBorder="1" applyFont="1"/>
    <xf borderId="13" fillId="0" fontId="2" numFmtId="0" xfId="0" applyBorder="1" applyFont="1"/>
    <xf borderId="33" fillId="0" fontId="4" numFmtId="0" xfId="0" applyBorder="1" applyFont="1"/>
    <xf borderId="38" fillId="0" fontId="4" numFmtId="0" xfId="0" applyBorder="1" applyFont="1"/>
    <xf borderId="39" fillId="0" fontId="4" numFmtId="0" xfId="0" applyBorder="1" applyFont="1"/>
    <xf borderId="9" fillId="0" fontId="1" numFmtId="0" xfId="0" applyAlignment="1" applyBorder="1" applyFont="1">
      <alignment horizontal="center" readingOrder="0"/>
    </xf>
    <xf borderId="10" fillId="0" fontId="1" numFmtId="164" xfId="0" applyAlignment="1" applyBorder="1" applyFont="1" applyNumberFormat="1">
      <alignment horizontal="center"/>
    </xf>
    <xf borderId="6" fillId="0" fontId="3" numFmtId="0" xfId="0" applyAlignment="1" applyBorder="1" applyFont="1">
      <alignment readingOrder="0"/>
    </xf>
    <xf borderId="29" fillId="0" fontId="4" numFmtId="0" xfId="0" applyBorder="1" applyFont="1"/>
    <xf borderId="17" fillId="2" fontId="7" numFmtId="0" xfId="0" applyAlignment="1" applyBorder="1" applyFont="1">
      <alignment horizontal="center" readingOrder="0" shrinkToFit="0" wrapText="1"/>
    </xf>
    <xf borderId="18" fillId="2" fontId="7" numFmtId="0" xfId="0" applyAlignment="1" applyBorder="1" applyFont="1">
      <alignment horizontal="center" readingOrder="0" shrinkToFit="0" wrapText="1"/>
    </xf>
    <xf borderId="12" fillId="0" fontId="3" numFmtId="0" xfId="0" applyAlignment="1" applyBorder="1" applyFont="1">
      <alignment horizontal="center" readingOrder="0"/>
    </xf>
    <xf borderId="2" fillId="5" fontId="8" numFmtId="0" xfId="0" applyAlignment="1" applyBorder="1" applyFont="1">
      <alignment horizontal="center" readingOrder="0" shrinkToFit="0" wrapText="1"/>
    </xf>
    <xf borderId="2" fillId="0" fontId="3" numFmtId="164" xfId="0" applyAlignment="1" applyBorder="1" applyFont="1" applyNumberFormat="1">
      <alignment horizontal="center" readingOrder="0" vertical="center"/>
    </xf>
    <xf borderId="15" fillId="0" fontId="3" numFmtId="164" xfId="0" applyAlignment="1" applyBorder="1" applyFont="1" applyNumberFormat="1">
      <alignment horizontal="center" readingOrder="0" vertical="center"/>
    </xf>
    <xf borderId="32" fillId="0" fontId="4" numFmtId="0" xfId="0" applyAlignment="1" applyBorder="1" applyFont="1">
      <alignment readingOrder="0"/>
    </xf>
    <xf borderId="6" fillId="0" fontId="1" numFmtId="164" xfId="0" applyAlignment="1" applyBorder="1" applyFont="1" applyNumberFormat="1">
      <alignment horizontal="center" readingOrder="0"/>
    </xf>
    <xf borderId="40" fillId="0" fontId="2" numFmtId="0" xfId="0" applyBorder="1" applyFont="1"/>
    <xf borderId="9" fillId="5" fontId="8" numFmtId="0" xfId="0" applyAlignment="1" applyBorder="1" applyFont="1">
      <alignment horizontal="center" readingOrder="0" shrinkToFit="0" wrapText="1"/>
    </xf>
    <xf borderId="41" fillId="0" fontId="1" numFmtId="164" xfId="0" applyAlignment="1" applyBorder="1" applyFont="1" applyNumberFormat="1">
      <alignment horizontal="center" readingOrder="0"/>
    </xf>
    <xf borderId="42" fillId="0" fontId="2" numFmtId="0" xfId="0" applyBorder="1" applyFont="1"/>
    <xf borderId="43" fillId="0" fontId="2" numFmtId="0" xfId="0" applyBorder="1" applyFont="1"/>
    <xf borderId="0" fillId="0" fontId="3" numFmtId="164" xfId="0" applyAlignment="1" applyFont="1" applyNumberFormat="1">
      <alignment horizontal="center" readingOrder="0"/>
    </xf>
    <xf borderId="32" fillId="0" fontId="3" numFmtId="0" xfId="0" applyBorder="1" applyFont="1"/>
    <xf borderId="15" fillId="2" fontId="7" numFmtId="0" xfId="0" applyAlignment="1" applyBorder="1" applyFont="1">
      <alignment horizontal="center" readingOrder="0" shrinkToFit="0" vertical="center" wrapText="1"/>
    </xf>
    <xf borderId="18" fillId="0" fontId="1" numFmtId="164" xfId="0" applyAlignment="1" applyBorder="1" applyFont="1" applyNumberFormat="1">
      <alignment horizontal="center" vertical="center"/>
    </xf>
    <xf borderId="38" fillId="0" fontId="2" numFmtId="0" xfId="0" applyBorder="1" applyFont="1"/>
    <xf borderId="44" fillId="0" fontId="2" numFmtId="0" xfId="0" applyBorder="1" applyFont="1"/>
    <xf borderId="9" fillId="0" fontId="3" numFmtId="0" xfId="0" applyAlignment="1" applyBorder="1" applyFont="1">
      <alignment horizontal="center" readingOrder="0"/>
    </xf>
    <xf borderId="9" fillId="0" fontId="3" numFmtId="164" xfId="0" applyAlignment="1" applyBorder="1" applyFont="1" applyNumberFormat="1">
      <alignment horizontal="center" readingOrder="0"/>
    </xf>
    <xf borderId="45" fillId="0" fontId="2" numFmtId="0" xfId="0" applyBorder="1" applyFont="1"/>
    <xf borderId="32" fillId="0" fontId="3" numFmtId="0" xfId="0" applyAlignment="1" applyBorder="1" applyFont="1">
      <alignment readingOrder="0"/>
    </xf>
    <xf borderId="39" fillId="0" fontId="2" numFmtId="0" xfId="0" applyBorder="1" applyFont="1"/>
    <xf borderId="10" fillId="0" fontId="3" numFmtId="164" xfId="0" applyAlignment="1" applyBorder="1" applyFont="1" applyNumberFormat="1">
      <alignment horizontal="center" readingOrder="0"/>
    </xf>
    <xf borderId="46" fillId="2" fontId="7" numFmtId="0" xfId="0" applyAlignment="1" applyBorder="1" applyFont="1">
      <alignment horizontal="center" readingOrder="0" shrinkToFit="0" wrapText="1"/>
    </xf>
    <xf borderId="47" fillId="0" fontId="2" numFmtId="0" xfId="0" applyBorder="1" applyFont="1"/>
    <xf borderId="48" fillId="3" fontId="1" numFmtId="164" xfId="0" applyBorder="1" applyFont="1" applyNumberFormat="1"/>
    <xf borderId="0" fillId="0" fontId="11" numFmtId="0" xfId="0" applyAlignment="1" applyFont="1">
      <alignment readingOrder="0"/>
    </xf>
    <xf borderId="49" fillId="3" fontId="1" numFmtId="164" xfId="0" applyBorder="1" applyFont="1" applyNumberFormat="1"/>
    <xf borderId="6" fillId="2" fontId="7" numFmtId="0" xfId="0" applyAlignment="1" applyBorder="1" applyFont="1">
      <alignment horizontal="center" readingOrder="0" shrinkToFit="0" vertical="center" wrapText="1"/>
    </xf>
    <xf borderId="0" fillId="4" fontId="8" numFmtId="0" xfId="0" applyAlignment="1" applyFont="1">
      <alignment horizontal="center" readingOrder="0" shrinkToFit="0" vertical="bottom" wrapText="0"/>
    </xf>
    <xf borderId="2" fillId="0" fontId="8" numFmtId="0" xfId="0" applyAlignment="1" applyBorder="1" applyFont="1">
      <alignment horizontal="center" readingOrder="0" shrinkToFit="0" wrapText="1"/>
    </xf>
    <xf borderId="6" fillId="0" fontId="8" numFmtId="0" xfId="0" applyAlignment="1" applyBorder="1" applyFont="1">
      <alignment horizontal="left" readingOrder="0" shrinkToFit="0" wrapText="1"/>
    </xf>
    <xf borderId="2" fillId="0" fontId="8" numFmtId="2" xfId="0" applyAlignment="1" applyBorder="1" applyFont="1" applyNumberFormat="1">
      <alignment horizontal="center" readingOrder="0" shrinkToFit="0" wrapText="1"/>
    </xf>
    <xf borderId="2" fillId="4" fontId="3" numFmtId="2" xfId="0" applyAlignment="1" applyBorder="1" applyFont="1" applyNumberFormat="1">
      <alignment horizontal="center"/>
    </xf>
    <xf borderId="0" fillId="4" fontId="3" numFmtId="0" xfId="0" applyFont="1"/>
    <xf borderId="24" fillId="0" fontId="8" numFmtId="0" xfId="0" applyAlignment="1" applyBorder="1" applyFont="1">
      <alignment horizontal="left" readingOrder="0" shrinkToFit="0" wrapText="1"/>
    </xf>
    <xf borderId="26" fillId="0" fontId="2" numFmtId="0" xfId="0" applyBorder="1" applyFont="1"/>
    <xf borderId="17" fillId="0" fontId="8" numFmtId="0" xfId="0" applyAlignment="1" applyBorder="1" applyFont="1">
      <alignment horizontal="left" readingOrder="0" shrinkToFit="0" wrapText="1"/>
    </xf>
    <xf borderId="0" fillId="4" fontId="8" numFmtId="0" xfId="0" applyAlignment="1" applyFont="1">
      <alignment readingOrder="0" shrinkToFit="0" vertical="bottom" wrapText="0"/>
    </xf>
    <xf borderId="0" fillId="4" fontId="3" numFmtId="0" xfId="0" applyAlignment="1" applyFont="1">
      <alignment readingOrder="0"/>
    </xf>
    <xf borderId="2" fillId="2" fontId="1" numFmtId="0" xfId="0" applyAlignment="1" applyBorder="1" applyFont="1">
      <alignment readingOrder="0" shrinkToFit="0" vertical="center" wrapText="1"/>
    </xf>
    <xf borderId="2" fillId="0" fontId="3" numFmtId="164" xfId="0" applyAlignment="1" applyBorder="1" applyFont="1" applyNumberFormat="1">
      <alignment horizontal="center" vertical="center"/>
    </xf>
    <xf borderId="2" fillId="4" fontId="3" numFmtId="2" xfId="0" applyAlignment="1" applyBorder="1" applyFont="1" applyNumberFormat="1">
      <alignment horizontal="center" readingOrder="0" vertical="center"/>
    </xf>
    <xf borderId="2" fillId="0" fontId="3" numFmtId="167" xfId="0" applyAlignment="1" applyBorder="1" applyFont="1" applyNumberFormat="1">
      <alignment horizontal="center" readingOrder="0" vertical="center"/>
    </xf>
    <xf borderId="2" fillId="0" fontId="3" numFmtId="2" xfId="0" applyAlignment="1" applyBorder="1" applyFont="1" applyNumberFormat="1">
      <alignment horizontal="center" vertical="center"/>
    </xf>
    <xf borderId="6" fillId="0" fontId="1" numFmtId="164" xfId="0" applyAlignment="1" applyBorder="1" applyFont="1" applyNumberFormat="1">
      <alignment horizontal="center" vertical="center"/>
    </xf>
    <xf borderId="6" fillId="0" fontId="1" numFmtId="167" xfId="0" applyAlignment="1" applyBorder="1" applyFont="1" applyNumberFormat="1">
      <alignment horizontal="center" vertical="center"/>
    </xf>
    <xf borderId="24" fillId="2" fontId="7" numFmtId="0" xfId="0" applyAlignment="1" applyBorder="1" applyFont="1">
      <alignment horizontal="center" readingOrder="0" shrinkToFit="0" vertical="center" wrapText="1"/>
    </xf>
    <xf borderId="2" fillId="0" fontId="3" numFmtId="2" xfId="0" applyAlignment="1" applyBorder="1" applyFont="1" applyNumberFormat="1">
      <alignment horizontal="center"/>
    </xf>
    <xf borderId="2" fillId="0" fontId="3" numFmtId="1" xfId="0" applyAlignment="1" applyBorder="1" applyFont="1" applyNumberFormat="1">
      <alignment horizontal="center" readingOrder="0"/>
    </xf>
    <xf borderId="17" fillId="0" fontId="3" numFmtId="164" xfId="0" applyAlignment="1" applyBorder="1" applyFont="1" applyNumberFormat="1">
      <alignment horizontal="center" readingOrder="0" vertical="center"/>
    </xf>
    <xf borderId="17" fillId="0" fontId="1" numFmtId="164" xfId="0" applyAlignment="1" applyBorder="1" applyFont="1" applyNumberFormat="1">
      <alignment horizontal="center" readingOrder="0" vertical="center"/>
    </xf>
    <xf borderId="6" fillId="3" fontId="1" numFmtId="164" xfId="0" applyAlignment="1" applyBorder="1" applyFont="1" applyNumberFormat="1">
      <alignment horizontal="center"/>
    </xf>
    <xf borderId="0" fillId="4" fontId="8" numFmtId="0" xfId="0" applyAlignment="1" applyFont="1">
      <alignment horizontal="center" readingOrder="0" shrinkToFit="0" wrapText="0"/>
    </xf>
    <xf borderId="0" fillId="4" fontId="4" numFmtId="0" xfId="0" applyFont="1"/>
    <xf borderId="2" fillId="2" fontId="7" numFmtId="0" xfId="0" applyAlignment="1" applyBorder="1" applyFont="1">
      <alignment horizontal="center" readingOrder="0" shrinkToFit="0" vertical="center" wrapText="0"/>
    </xf>
    <xf borderId="2" fillId="2" fontId="7" numFmtId="0" xfId="0" applyAlignment="1" applyBorder="1" applyFont="1">
      <alignment horizontal="center" readingOrder="0" vertical="center"/>
    </xf>
    <xf borderId="2" fillId="2" fontId="1" numFmtId="0" xfId="0" applyAlignment="1" applyBorder="1" applyFont="1">
      <alignment horizontal="center" readingOrder="0" vertical="center"/>
    </xf>
    <xf borderId="2" fillId="0" fontId="8" numFmtId="0" xfId="0" applyAlignment="1" applyBorder="1" applyFont="1">
      <alignment readingOrder="0" shrinkToFit="0" vertical="bottom" wrapText="0"/>
    </xf>
    <xf borderId="2" fillId="0" fontId="8" numFmtId="0" xfId="0" applyAlignment="1" applyBorder="1" applyFont="1">
      <alignment horizontal="center" readingOrder="0" shrinkToFit="0" vertical="bottom" wrapText="0"/>
    </xf>
    <xf borderId="2" fillId="0" fontId="3" numFmtId="0" xfId="0" applyAlignment="1" applyBorder="1" applyFont="1">
      <alignment horizontal="center" readingOrder="0" shrinkToFit="0" vertical="bottom" wrapText="0"/>
    </xf>
    <xf borderId="2" fillId="0" fontId="1" numFmtId="0" xfId="0" applyAlignment="1" applyBorder="1" applyFont="1">
      <alignment horizontal="center" readingOrder="0" shrinkToFit="0" vertical="bottom" wrapText="0"/>
    </xf>
    <xf borderId="17" fillId="0" fontId="1" numFmtId="164" xfId="0" applyAlignment="1" applyBorder="1" applyFont="1" applyNumberFormat="1">
      <alignment horizontal="center" vertical="center"/>
    </xf>
    <xf borderId="0" fillId="0" fontId="3" numFmtId="0" xfId="0" applyAlignment="1" applyFont="1">
      <alignment horizontal="center" readingOrder="0" vertical="center"/>
    </xf>
    <xf borderId="17" fillId="2" fontId="1" numFmtId="0" xfId="0" applyAlignment="1" applyBorder="1" applyFont="1">
      <alignment horizontal="center" readingOrder="0" shrinkToFit="0" wrapText="1"/>
    </xf>
    <xf borderId="6" fillId="0" fontId="1" numFmtId="0" xfId="0" applyAlignment="1" applyBorder="1" applyFont="1">
      <alignment horizontal="center" readingOrder="0"/>
    </xf>
    <xf borderId="50" fillId="0" fontId="1" numFmtId="0" xfId="0" applyAlignment="1" applyBorder="1" applyFont="1">
      <alignment horizontal="center" readingOrder="0"/>
    </xf>
    <xf borderId="6" fillId="0" fontId="1" numFmtId="164" xfId="0" applyAlignment="1" applyBorder="1" applyFont="1" applyNumberFormat="1">
      <alignment horizontal="center"/>
    </xf>
    <xf borderId="50" fillId="0" fontId="3" numFmtId="0" xfId="0" applyBorder="1" applyFont="1"/>
    <xf borderId="2" fillId="3" fontId="1" numFmtId="164" xfId="0" applyAlignment="1" applyBorder="1" applyFont="1" applyNumberFormat="1">
      <alignment horizontal="center"/>
    </xf>
    <xf borderId="0" fillId="0" fontId="1" numFmtId="0" xfId="0" applyAlignment="1" applyFont="1">
      <alignment readingOrder="0" vertical="center"/>
    </xf>
  </cellXfs>
  <cellStyles count="1">
    <cellStyle xfId="0" name="Normal" builtinId="0"/>
  </cellStyles>
  <dxfs count="4">
    <dxf>
      <font/>
      <fill>
        <patternFill patternType="solid">
          <fgColor rgb="FFB7E1CD"/>
          <bgColor rgb="FFB7E1CD"/>
        </patternFill>
      </fill>
      <border/>
    </dxf>
    <dxf>
      <font>
        <color rgb="FFFF0000"/>
      </font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841666666666667"/>
          <c:y val="0.07425876010781675"/>
          <c:w val="0.6849166666666672"/>
          <c:h val="0.7222371967654986"/>
        </c:manualLayout>
      </c:layout>
      <c:areaChart>
        <c:ser>
          <c:idx val="0"/>
          <c:order val="0"/>
          <c:spPr>
            <a:solidFill>
              <a:srgbClr val="A5F383">
                <a:alpha val="70000"/>
              </a:srgbClr>
            </a:solidFill>
            <a:ln cmpd="sng" w="38100">
              <a:solidFill>
                <a:srgbClr val="A5F383">
                  <a:alpha val="100000"/>
                </a:srgbClr>
              </a:solidFill>
              <a:prstDash val="solid"/>
            </a:ln>
          </c:spPr>
          <c:cat>
            <c:strRef>
              <c:f>'Gráfico'!$B$2:$B$51</c:f>
            </c:strRef>
          </c:cat>
          <c:val>
            <c:numRef>
              <c:f>'Gráfico'!$C$2:$C$51</c:f>
              <c:numCache/>
            </c:numRef>
          </c:val>
        </c:ser>
        <c:axId val="271212471"/>
        <c:axId val="685357307"/>
      </c:areaChart>
      <c:catAx>
        <c:axId val="271212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1" sz="2000">
                    <a:solidFill>
                      <a:srgbClr val="000000"/>
                    </a:solidFill>
                    <a:latin typeface="Arial"/>
                  </a:defRPr>
                </a:pPr>
                <a:r>
                  <a:rPr b="1" sz="2000">
                    <a:solidFill>
                      <a:srgbClr val="000000"/>
                    </a:solidFill>
                    <a:latin typeface="Arial"/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26713411458333336"/>
              <c:y val="0.9095687331536387"/>
            </c:manualLayout>
          </c:layout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 sz="2000">
                <a:solidFill>
                  <a:srgbClr val="000000"/>
                </a:solidFill>
                <a:latin typeface="Arial"/>
              </a:defRPr>
            </a:pPr>
          </a:p>
        </c:txPr>
        <c:crossAx val="685357307"/>
      </c:catAx>
      <c:valAx>
        <c:axId val="68535730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1" sz="2400">
                    <a:solidFill>
                      <a:srgbClr val="000000"/>
                    </a:solidFill>
                    <a:latin typeface="Arial"/>
                  </a:defRPr>
                </a:pPr>
                <a:r>
                  <a:rPr b="1" sz="2400">
                    <a:solidFill>
                      <a:srgbClr val="000000"/>
                    </a:solidFill>
                    <a:latin typeface="Arial"/>
                  </a:rPr>
                  <a:t>VAN</a:t>
                </a:r>
              </a:p>
            </c:rich>
          </c:tx>
          <c:layout>
            <c:manualLayout>
              <c:xMode val="edge"/>
              <c:yMode val="edge"/>
              <c:x val="0.02258333333333333"/>
              <c:y val="0.05"/>
            </c:manualLayout>
          </c:layout>
          <c:overlay val="0"/>
        </c:title>
        <c:numFmt formatCode="[$$]#,##0" sourceLinked="0"/>
        <c:majorTickMark val="none"/>
        <c:minorTickMark val="none"/>
        <c:tickLblPos val="nextTo"/>
        <c:spPr>
          <a:ln>
            <a:solidFill/>
          </a:ln>
        </c:spPr>
        <c:txPr>
          <a:bodyPr/>
          <a:lstStyle/>
          <a:p>
            <a:pPr lvl="0">
              <a:defRPr b="1" sz="1800">
                <a:solidFill>
                  <a:srgbClr val="000000"/>
                </a:solidFill>
                <a:latin typeface="Arial"/>
              </a:defRPr>
            </a:pPr>
          </a:p>
        </c:txPr>
        <c:crossAx val="271212471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114300</xdr:colOff>
      <xdr:row>80</xdr:row>
      <xdr:rowOff>66675</xdr:rowOff>
    </xdr:from>
    <xdr:ext cx="7058025" cy="38004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142875</xdr:colOff>
      <xdr:row>0</xdr:row>
      <xdr:rowOff>200025</xdr:rowOff>
    </xdr:from>
    <xdr:ext cx="5715000" cy="3533775"/>
    <xdr:graphicFrame>
      <xdr:nvGraphicFramePr>
        <xdr:cNvPr id="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75"/>
  <cols>
    <col customWidth="1" min="1" max="1" width="32.71"/>
    <col customWidth="1" min="2" max="2" width="17.14"/>
    <col customWidth="1" min="3" max="5" width="16.86"/>
    <col customWidth="1" min="6" max="7" width="17.43"/>
    <col customWidth="1" min="8" max="8" width="16.86"/>
    <col customWidth="1" min="9" max="9" width="17.57"/>
    <col customWidth="1" min="10" max="10" width="20.14"/>
    <col customWidth="1" min="11" max="11" width="17.57"/>
    <col customWidth="1" min="12" max="12" width="20.29"/>
    <col customWidth="1" min="13" max="13" width="20.57"/>
  </cols>
  <sheetData>
    <row r="1">
      <c r="A1" s="1" t="s">
        <v>0</v>
      </c>
      <c r="B1" s="2" t="s">
        <v>1</v>
      </c>
      <c r="C1" s="3" t="s">
        <v>2</v>
      </c>
      <c r="D1" s="4"/>
      <c r="E1" s="4"/>
      <c r="F1" s="4"/>
      <c r="G1" s="5"/>
      <c r="H1" s="6"/>
      <c r="I1" s="7" t="s">
        <v>3</v>
      </c>
      <c r="J1" s="8"/>
      <c r="K1" s="9">
        <v>0.34</v>
      </c>
    </row>
    <row r="2">
      <c r="A2" s="10"/>
      <c r="B2" s="11">
        <v>0.0</v>
      </c>
      <c r="C2" s="11">
        <v>1.0</v>
      </c>
      <c r="D2" s="11">
        <v>2.0</v>
      </c>
      <c r="E2" s="11">
        <v>3.0</v>
      </c>
      <c r="F2" s="11">
        <v>4.0</v>
      </c>
      <c r="G2" s="12">
        <v>5.0</v>
      </c>
      <c r="H2" s="6"/>
      <c r="I2" s="7" t="s">
        <v>4</v>
      </c>
      <c r="J2" s="8"/>
      <c r="K2" s="9">
        <f>K1/(1+K1)</f>
        <v>0.2537313433</v>
      </c>
    </row>
    <row r="3">
      <c r="A3" s="13" t="s">
        <v>5</v>
      </c>
      <c r="B3" s="14">
        <f>-'Inversión'!B12</f>
        <v>-3480745.99</v>
      </c>
      <c r="C3" s="15"/>
      <c r="D3" s="15"/>
      <c r="E3" s="15"/>
      <c r="F3" s="15"/>
      <c r="G3" s="16"/>
      <c r="H3" s="6"/>
      <c r="I3" s="17" t="s">
        <v>6</v>
      </c>
      <c r="J3" s="8"/>
      <c r="K3" s="18">
        <f>IRR(B10:G10)</f>
        <v>0.7354145801</v>
      </c>
    </row>
    <row r="4">
      <c r="A4" s="19" t="s">
        <v>7</v>
      </c>
      <c r="B4" s="20"/>
      <c r="C4" s="21">
        <f>Accidentes!F8</f>
        <v>239456</v>
      </c>
      <c r="D4" s="21">
        <f>Accidentes!F8</f>
        <v>239456</v>
      </c>
      <c r="E4" s="21">
        <f>Accidentes!F9</f>
        <v>838096</v>
      </c>
      <c r="F4" s="21">
        <f>Accidentes!F8</f>
        <v>239456</v>
      </c>
      <c r="G4" s="22">
        <f>Accidentes!F10</f>
        <v>2873472</v>
      </c>
      <c r="H4" s="6"/>
      <c r="I4" s="17" t="s">
        <v>8</v>
      </c>
      <c r="J4" s="8"/>
      <c r="K4" s="23">
        <f>G11</f>
        <v>3997276.335</v>
      </c>
    </row>
    <row r="5">
      <c r="A5" s="19" t="s">
        <v>9</v>
      </c>
      <c r="B5" s="20"/>
      <c r="C5" s="21">
        <f>'Beneficio en inyección'!D14*(7/10)</f>
        <v>1039156.426</v>
      </c>
      <c r="D5" s="21">
        <f>'Beneficio en inyección'!D14</f>
        <v>1484509.18</v>
      </c>
      <c r="E5" s="24">
        <f>'Beneficio en inyección'!D14</f>
        <v>1484509.18</v>
      </c>
      <c r="F5" s="24">
        <f>'Beneficio en inyección'!D14</f>
        <v>1484509.18</v>
      </c>
      <c r="G5" s="25">
        <f>'Beneficio en inyección'!D14</f>
        <v>1484509.18</v>
      </c>
      <c r="H5" s="6"/>
    </row>
    <row r="6">
      <c r="A6" s="19" t="s">
        <v>10</v>
      </c>
      <c r="B6" s="20"/>
      <c r="C6" s="21">
        <f>'Venta de plástico'!F27*(7/10)</f>
        <v>1348027.352</v>
      </c>
      <c r="D6" s="21">
        <f>'Venta de plástico'!F27</f>
        <v>1925753.36</v>
      </c>
      <c r="E6" s="21">
        <f>'Venta de plástico'!F27</f>
        <v>1925753.36</v>
      </c>
      <c r="F6" s="21">
        <f>'Venta de plástico'!F27</f>
        <v>1925753.36</v>
      </c>
      <c r="G6" s="22">
        <f>'Venta de plástico'!F27</f>
        <v>1925753.36</v>
      </c>
      <c r="H6" s="6"/>
    </row>
    <row r="7">
      <c r="A7" s="19" t="s">
        <v>11</v>
      </c>
      <c r="B7" s="20"/>
      <c r="C7" s="21">
        <f>SUM(E20:K20)</f>
        <v>-133217.0167</v>
      </c>
      <c r="D7" s="21">
        <f>-Mantenimiento!$C$30</f>
        <v>-144906.5767</v>
      </c>
      <c r="E7" s="21">
        <f>-Mantenimiento!$C$30</f>
        <v>-144906.5767</v>
      </c>
      <c r="F7" s="21">
        <f>-Mantenimiento!$C$30</f>
        <v>-144906.5767</v>
      </c>
      <c r="G7" s="22">
        <f>-Mantenimiento!$C$30</f>
        <v>-144906.5767</v>
      </c>
      <c r="H7" s="6"/>
      <c r="I7" s="7" t="s">
        <v>12</v>
      </c>
      <c r="J7" s="8"/>
      <c r="K7" s="9">
        <f>K1/10</f>
        <v>0.034</v>
      </c>
    </row>
    <row r="8">
      <c r="A8" s="26" t="s">
        <v>13</v>
      </c>
      <c r="B8" s="27"/>
      <c r="C8" s="28">
        <f>-'Aumento del consumo eléctrico'!K21*(7/10)</f>
        <v>-35800.02474</v>
      </c>
      <c r="D8" s="28">
        <f>-'Aumento del consumo eléctrico'!K21</f>
        <v>-51142.89249</v>
      </c>
      <c r="E8" s="28">
        <f>-'Aumento del consumo eléctrico'!K21</f>
        <v>-51142.89249</v>
      </c>
      <c r="F8" s="28">
        <f>-'Aumento del consumo eléctrico'!K21</f>
        <v>-51142.89249</v>
      </c>
      <c r="G8" s="29">
        <f>-'Aumento del consumo eléctrico'!K21</f>
        <v>-51142.89249</v>
      </c>
      <c r="H8" s="6"/>
      <c r="I8" s="7" t="s">
        <v>14</v>
      </c>
      <c r="J8" s="8"/>
      <c r="K8" s="9">
        <f>K7/(1+K7)</f>
        <v>0.03288201161</v>
      </c>
    </row>
    <row r="9">
      <c r="A9" s="26" t="s">
        <v>15</v>
      </c>
      <c r="B9" s="27"/>
      <c r="C9" s="28">
        <f>'Mano de obra'!G11*(7/10)</f>
        <v>-397569.76</v>
      </c>
      <c r="D9" s="28">
        <f>'Mano de obra'!G11</f>
        <v>-567956.8</v>
      </c>
      <c r="E9" s="28">
        <f>'Mano de obra'!G11</f>
        <v>-567956.8</v>
      </c>
      <c r="F9" s="28">
        <f>'Mano de obra'!G11</f>
        <v>-567956.8</v>
      </c>
      <c r="G9" s="29">
        <f>'Mano de obra'!G11</f>
        <v>-567956.8</v>
      </c>
      <c r="H9" s="6"/>
      <c r="I9" s="6"/>
      <c r="J9" s="6"/>
      <c r="K9" s="6"/>
    </row>
    <row r="10">
      <c r="A10" s="30" t="s">
        <v>16</v>
      </c>
      <c r="B10" s="31">
        <f t="shared" ref="B10:G10" si="1">SUM(B3:B9)</f>
        <v>-3480745.99</v>
      </c>
      <c r="C10" s="31">
        <f t="shared" si="1"/>
        <v>2060052.977</v>
      </c>
      <c r="D10" s="31">
        <f t="shared" si="1"/>
        <v>2885712.271</v>
      </c>
      <c r="E10" s="31">
        <f t="shared" si="1"/>
        <v>3484352.271</v>
      </c>
      <c r="F10" s="31">
        <f t="shared" si="1"/>
        <v>2885712.271</v>
      </c>
      <c r="G10" s="32">
        <f t="shared" si="1"/>
        <v>5519728.271</v>
      </c>
      <c r="H10" s="6"/>
    </row>
    <row r="11">
      <c r="A11" s="33" t="s">
        <v>17</v>
      </c>
      <c r="B11" s="34">
        <f>B10</f>
        <v>-3480745.99</v>
      </c>
      <c r="C11" s="35">
        <f>L24</f>
        <v>-1686317.916</v>
      </c>
      <c r="D11" s="34">
        <f>L37</f>
        <v>137715.1266</v>
      </c>
      <c r="E11" s="34">
        <f>L58</f>
        <v>1726821.42</v>
      </c>
      <c r="F11" s="34">
        <f>L71</f>
        <v>2681854.518</v>
      </c>
      <c r="G11" s="34">
        <f>L84</f>
        <v>3997276.335</v>
      </c>
      <c r="H11" s="6"/>
    </row>
    <row r="12">
      <c r="H12" s="36"/>
      <c r="I12" s="6"/>
      <c r="J12" s="6"/>
      <c r="K12" s="6"/>
    </row>
    <row r="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>
      <c r="A14" s="37" t="s">
        <v>18</v>
      </c>
      <c r="B14" s="38" t="s">
        <v>19</v>
      </c>
      <c r="C14" s="39"/>
      <c r="D14" s="39"/>
      <c r="E14" s="39"/>
      <c r="F14" s="39"/>
      <c r="G14" s="39"/>
      <c r="H14" s="39"/>
      <c r="I14" s="39"/>
      <c r="J14" s="39"/>
      <c r="K14" s="8"/>
      <c r="L14" s="37" t="s">
        <v>20</v>
      </c>
      <c r="M14" s="6"/>
      <c r="N14" s="6"/>
      <c r="O14" s="6"/>
      <c r="P14" s="6"/>
      <c r="Q14" s="6"/>
      <c r="R14" s="6"/>
    </row>
    <row r="15">
      <c r="A15" s="40"/>
      <c r="B15" s="2">
        <v>1.0</v>
      </c>
      <c r="C15" s="2">
        <v>2.0</v>
      </c>
      <c r="D15" s="2">
        <v>3.0</v>
      </c>
      <c r="E15" s="2">
        <v>4.0</v>
      </c>
      <c r="F15" s="2">
        <v>5.0</v>
      </c>
      <c r="G15" s="2">
        <v>6.0</v>
      </c>
      <c r="H15" s="2">
        <v>7.0</v>
      </c>
      <c r="I15" s="2">
        <v>8.0</v>
      </c>
      <c r="J15" s="2">
        <v>9.0</v>
      </c>
      <c r="K15" s="38">
        <v>10.0</v>
      </c>
      <c r="L15" s="40"/>
      <c r="M15" s="6"/>
      <c r="N15" s="6"/>
      <c r="O15" s="6"/>
      <c r="P15" s="6"/>
      <c r="Q15" s="6"/>
      <c r="R15" s="6"/>
    </row>
    <row r="16">
      <c r="A16" s="41" t="s">
        <v>5</v>
      </c>
      <c r="B16" s="24">
        <f>-'Inversión'!E11</f>
        <v>-1708943.857</v>
      </c>
      <c r="C16" s="21">
        <f>-'Inversión'!G4</f>
        <v>-796857.2467</v>
      </c>
      <c r="D16" s="21">
        <f>-'Inversión'!I4</f>
        <v>-974944.8867</v>
      </c>
      <c r="E16" s="20"/>
      <c r="F16" s="20"/>
      <c r="G16" s="20"/>
      <c r="H16" s="20"/>
      <c r="I16" s="20"/>
      <c r="J16" s="20"/>
      <c r="K16" s="42"/>
      <c r="L16" s="43">
        <f t="shared" ref="L16:L22" si="2">SUM(B16:K16)</f>
        <v>-3480745.99</v>
      </c>
      <c r="M16" s="6"/>
      <c r="N16" s="6"/>
      <c r="O16" s="6"/>
      <c r="P16" s="6"/>
      <c r="Q16" s="6"/>
      <c r="R16" s="6"/>
    </row>
    <row r="17">
      <c r="A17" s="41" t="s">
        <v>7</v>
      </c>
      <c r="B17" s="41">
        <v>0.0</v>
      </c>
      <c r="C17" s="41">
        <v>0.0</v>
      </c>
      <c r="D17" s="41">
        <v>0.0</v>
      </c>
      <c r="E17" s="20"/>
      <c r="F17" s="20"/>
      <c r="G17" s="20"/>
      <c r="H17" s="21">
        <f>Accidentes!F8</f>
        <v>239456</v>
      </c>
      <c r="I17" s="44"/>
      <c r="J17" s="20"/>
      <c r="K17" s="42"/>
      <c r="L17" s="43">
        <f t="shared" si="2"/>
        <v>239456</v>
      </c>
      <c r="M17" s="6"/>
      <c r="N17" s="6"/>
      <c r="O17" s="6"/>
      <c r="P17" s="6"/>
      <c r="Q17" s="6"/>
      <c r="R17" s="6"/>
    </row>
    <row r="18">
      <c r="A18" s="41" t="s">
        <v>9</v>
      </c>
      <c r="B18" s="41">
        <v>0.0</v>
      </c>
      <c r="C18" s="41">
        <v>0.0</v>
      </c>
      <c r="D18" s="41">
        <v>0.0</v>
      </c>
      <c r="E18" s="24">
        <f>'Beneficio en inyección'!D13</f>
        <v>148450.918</v>
      </c>
      <c r="F18" s="24">
        <f>'Beneficio en inyección'!D13</f>
        <v>148450.918</v>
      </c>
      <c r="G18" s="24">
        <f>'Beneficio en inyección'!D13</f>
        <v>148450.918</v>
      </c>
      <c r="H18" s="24">
        <f>'Beneficio en inyección'!D13</f>
        <v>148450.918</v>
      </c>
      <c r="I18" s="45">
        <f>'Beneficio en inyección'!D13</f>
        <v>148450.918</v>
      </c>
      <c r="J18" s="24">
        <f>'Beneficio en inyección'!D13</f>
        <v>148450.918</v>
      </c>
      <c r="K18" s="46">
        <f>'Beneficio en inyección'!D13</f>
        <v>148450.918</v>
      </c>
      <c r="L18" s="47">
        <f t="shared" si="2"/>
        <v>1039156.426</v>
      </c>
      <c r="M18" s="6"/>
      <c r="N18" s="6"/>
      <c r="O18" s="6"/>
      <c r="P18" s="6"/>
      <c r="Q18" s="6"/>
      <c r="R18" s="6"/>
    </row>
    <row r="19">
      <c r="A19" s="41" t="s">
        <v>10</v>
      </c>
      <c r="B19" s="41">
        <v>0.0</v>
      </c>
      <c r="C19" s="41">
        <v>0.0</v>
      </c>
      <c r="D19" s="41">
        <v>0.0</v>
      </c>
      <c r="E19" s="21">
        <f>'Venta de plástico'!F32</f>
        <v>192575.336</v>
      </c>
      <c r="F19" s="21">
        <f>'Venta de plástico'!F32</f>
        <v>192575.336</v>
      </c>
      <c r="G19" s="21">
        <f>'Venta de plástico'!F32</f>
        <v>192575.336</v>
      </c>
      <c r="H19" s="21">
        <f>'Venta de plástico'!F32</f>
        <v>192575.336</v>
      </c>
      <c r="I19" s="21">
        <f>'Venta de plástico'!F32</f>
        <v>192575.336</v>
      </c>
      <c r="J19" s="21">
        <f>'Venta de plástico'!F32</f>
        <v>192575.336</v>
      </c>
      <c r="K19" s="48">
        <f>'Venta de plástico'!F32</f>
        <v>192575.336</v>
      </c>
      <c r="L19" s="43">
        <f t="shared" si="2"/>
        <v>1348027.352</v>
      </c>
      <c r="M19" s="6"/>
      <c r="N19" s="6"/>
      <c r="O19" s="6"/>
      <c r="P19" s="6"/>
      <c r="Q19" s="6"/>
      <c r="R19" s="6"/>
    </row>
    <row r="20">
      <c r="A20" s="41" t="s">
        <v>11</v>
      </c>
      <c r="B20" s="41">
        <v>0.0</v>
      </c>
      <c r="C20" s="41">
        <v>0.0</v>
      </c>
      <c r="D20" s="41">
        <v>0.0</v>
      </c>
      <c r="E20" s="21">
        <f>-Mantenimiento!$C$33</f>
        <v>-3896.52</v>
      </c>
      <c r="F20" s="21">
        <f>-Mantenimiento!$C$33</f>
        <v>-3896.52</v>
      </c>
      <c r="G20" s="21">
        <f>-Mantenimiento!$C$33</f>
        <v>-3896.52</v>
      </c>
      <c r="H20" s="21">
        <f>-Mantenimiento!$C$33</f>
        <v>-3896.52</v>
      </c>
      <c r="I20" s="21">
        <f>-Mantenimiento!$C$33</f>
        <v>-3896.52</v>
      </c>
      <c r="J20" s="21">
        <f>-Mantenimiento!$C$33</f>
        <v>-3896.52</v>
      </c>
      <c r="K20" s="48">
        <f>-Mantenimiento!C35</f>
        <v>-109837.8967</v>
      </c>
      <c r="L20" s="43">
        <f t="shared" si="2"/>
        <v>-133217.0167</v>
      </c>
      <c r="M20" s="6"/>
      <c r="N20" s="6"/>
      <c r="O20" s="6"/>
      <c r="P20" s="6"/>
      <c r="Q20" s="6"/>
      <c r="R20" s="6"/>
    </row>
    <row r="21">
      <c r="A21" s="49" t="s">
        <v>13</v>
      </c>
      <c r="B21" s="41">
        <v>0.0</v>
      </c>
      <c r="C21" s="41">
        <v>0.0</v>
      </c>
      <c r="D21" s="41">
        <v>0.0</v>
      </c>
      <c r="E21" s="28">
        <f>-'Aumento del consumo eléctrico'!$K$24</f>
        <v>-5114.289249</v>
      </c>
      <c r="F21" s="28">
        <f>-'Aumento del consumo eléctrico'!$K$24</f>
        <v>-5114.289249</v>
      </c>
      <c r="G21" s="28">
        <f>-'Aumento del consumo eléctrico'!$K$24</f>
        <v>-5114.289249</v>
      </c>
      <c r="H21" s="28">
        <f>-'Aumento del consumo eléctrico'!$K$24</f>
        <v>-5114.289249</v>
      </c>
      <c r="I21" s="28">
        <f>-'Aumento del consumo eléctrico'!$K$24</f>
        <v>-5114.289249</v>
      </c>
      <c r="J21" s="28">
        <f>-'Aumento del consumo eléctrico'!$K$24</f>
        <v>-5114.289249</v>
      </c>
      <c r="K21" s="50">
        <f>-'Aumento del consumo eléctrico'!$K$24</f>
        <v>-5114.289249</v>
      </c>
      <c r="L21" s="43">
        <f t="shared" si="2"/>
        <v>-35800.02474</v>
      </c>
      <c r="M21" s="6"/>
      <c r="N21" s="6"/>
      <c r="O21" s="6"/>
      <c r="P21" s="6"/>
      <c r="Q21" s="6"/>
      <c r="R21" s="6"/>
    </row>
    <row r="22">
      <c r="A22" s="41" t="s">
        <v>15</v>
      </c>
      <c r="B22" s="41">
        <v>0.0</v>
      </c>
      <c r="C22" s="41">
        <v>0.0</v>
      </c>
      <c r="D22" s="41">
        <v>0.0</v>
      </c>
      <c r="E22" s="21">
        <f>'Mano de obra'!$G$11/10</f>
        <v>-56795.68</v>
      </c>
      <c r="F22" s="21">
        <f>'Mano de obra'!$G$11/10</f>
        <v>-56795.68</v>
      </c>
      <c r="G22" s="21">
        <f>'Mano de obra'!$G$11/10</f>
        <v>-56795.68</v>
      </c>
      <c r="H22" s="21">
        <f>'Mano de obra'!$G$11/10</f>
        <v>-56795.68</v>
      </c>
      <c r="I22" s="21">
        <f>'Mano de obra'!$G$11/10</f>
        <v>-56795.68</v>
      </c>
      <c r="J22" s="21">
        <f>'Mano de obra'!$G$11/10</f>
        <v>-56795.68</v>
      </c>
      <c r="K22" s="48">
        <f>'Mano de obra'!$G$11/10</f>
        <v>-56795.68</v>
      </c>
      <c r="L22" s="43">
        <f t="shared" si="2"/>
        <v>-397569.76</v>
      </c>
      <c r="M22" s="6"/>
      <c r="N22" s="6"/>
      <c r="O22" s="6"/>
      <c r="P22" s="6"/>
      <c r="Q22" s="6"/>
      <c r="R22" s="6"/>
    </row>
    <row r="23">
      <c r="A23" s="2" t="s">
        <v>16</v>
      </c>
      <c r="B23" s="51">
        <f t="shared" ref="B23:K23" si="3">SUM(B16:B22)</f>
        <v>-1708943.857</v>
      </c>
      <c r="C23" s="52">
        <f t="shared" si="3"/>
        <v>-796857.2467</v>
      </c>
      <c r="D23" s="52">
        <f t="shared" si="3"/>
        <v>-974944.8867</v>
      </c>
      <c r="E23" s="51">
        <f t="shared" si="3"/>
        <v>275219.7648</v>
      </c>
      <c r="F23" s="51">
        <f t="shared" si="3"/>
        <v>275219.7648</v>
      </c>
      <c r="G23" s="51">
        <f t="shared" si="3"/>
        <v>275219.7648</v>
      </c>
      <c r="H23" s="51">
        <f t="shared" si="3"/>
        <v>514675.7648</v>
      </c>
      <c r="I23" s="51">
        <f t="shared" si="3"/>
        <v>275219.7648</v>
      </c>
      <c r="J23" s="51">
        <f t="shared" si="3"/>
        <v>275219.7648</v>
      </c>
      <c r="K23" s="53">
        <f t="shared" si="3"/>
        <v>169278.3881</v>
      </c>
      <c r="L23" s="43">
        <f>SUM(E23:K23)</f>
        <v>2060052.977</v>
      </c>
      <c r="M23" s="6"/>
      <c r="N23" s="6"/>
      <c r="O23" s="6"/>
      <c r="P23" s="6"/>
      <c r="Q23" s="6"/>
      <c r="R23" s="6"/>
    </row>
    <row r="24">
      <c r="A24" s="54" t="s">
        <v>17</v>
      </c>
      <c r="B24" s="55">
        <f>B23</f>
        <v>-1708943.857</v>
      </c>
      <c r="C24" s="55">
        <f t="array" ref="C24">NPV(K8,C23)+B24</f>
        <v>-2480432.989</v>
      </c>
      <c r="D24" s="55">
        <f t="shared" ref="D24:K24" si="4">NPV($K$8,$C$23:D23)+$B$24</f>
        <v>-3394290.82</v>
      </c>
      <c r="E24" s="55">
        <f t="shared" si="4"/>
        <v>-3144528.18</v>
      </c>
      <c r="F24" s="55">
        <f t="shared" si="4"/>
        <v>-2902716.784</v>
      </c>
      <c r="G24" s="55">
        <f t="shared" si="4"/>
        <v>-2668603.504</v>
      </c>
      <c r="H24" s="55">
        <f t="shared" si="4"/>
        <v>-2244736.671</v>
      </c>
      <c r="I24" s="55">
        <f t="shared" si="4"/>
        <v>-2025292.211</v>
      </c>
      <c r="J24" s="55">
        <f t="shared" si="4"/>
        <v>-1812833.81</v>
      </c>
      <c r="K24" s="55">
        <f t="shared" si="4"/>
        <v>-1686317.916</v>
      </c>
      <c r="L24" s="55">
        <f>K24</f>
        <v>-1686317.916</v>
      </c>
      <c r="M24" s="6"/>
      <c r="N24" s="6"/>
      <c r="O24" s="6"/>
      <c r="P24" s="6"/>
      <c r="Q24" s="6"/>
      <c r="R24" s="6"/>
    </row>
    <row r="25">
      <c r="A25" s="56"/>
      <c r="B25" s="56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6"/>
      <c r="N25" s="6"/>
      <c r="O25" s="6"/>
      <c r="P25" s="6"/>
      <c r="Q25" s="6"/>
      <c r="R25" s="6"/>
    </row>
    <row r="26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>
      <c r="A27" s="37" t="s">
        <v>21</v>
      </c>
      <c r="B27" s="38" t="s">
        <v>19</v>
      </c>
      <c r="C27" s="39"/>
      <c r="D27" s="39"/>
      <c r="E27" s="39"/>
      <c r="F27" s="39"/>
      <c r="G27" s="39"/>
      <c r="H27" s="39"/>
      <c r="I27" s="39"/>
      <c r="J27" s="39"/>
      <c r="K27" s="8"/>
      <c r="L27" s="37" t="s">
        <v>20</v>
      </c>
      <c r="M27" s="6"/>
      <c r="N27" s="6"/>
      <c r="O27" s="6"/>
      <c r="P27" s="6"/>
      <c r="Q27" s="6"/>
      <c r="R27" s="6"/>
    </row>
    <row r="28">
      <c r="A28" s="40"/>
      <c r="B28" s="2">
        <v>1.0</v>
      </c>
      <c r="C28" s="2">
        <v>2.0</v>
      </c>
      <c r="D28" s="2">
        <v>3.0</v>
      </c>
      <c r="E28" s="2">
        <v>4.0</v>
      </c>
      <c r="F28" s="2">
        <v>5.0</v>
      </c>
      <c r="G28" s="2">
        <v>6.0</v>
      </c>
      <c r="H28" s="2">
        <v>7.0</v>
      </c>
      <c r="I28" s="2">
        <v>8.0</v>
      </c>
      <c r="J28" s="2">
        <v>9.0</v>
      </c>
      <c r="K28" s="2">
        <v>10.0</v>
      </c>
      <c r="L28" s="40"/>
    </row>
    <row r="29">
      <c r="A29" s="41" t="s">
        <v>5</v>
      </c>
      <c r="B29" s="41"/>
      <c r="C29" s="20"/>
      <c r="D29" s="20"/>
      <c r="E29" s="20"/>
      <c r="F29" s="20"/>
      <c r="G29" s="20"/>
      <c r="H29" s="20"/>
      <c r="I29" s="20"/>
      <c r="J29" s="20"/>
      <c r="K29" s="20"/>
      <c r="L29" s="43">
        <f t="shared" ref="L29:L35" si="5">SUM(B29:K29)</f>
        <v>0</v>
      </c>
    </row>
    <row r="30">
      <c r="A30" s="41" t="s">
        <v>7</v>
      </c>
      <c r="B30" s="20"/>
      <c r="C30" s="20"/>
      <c r="D30" s="20"/>
      <c r="E30" s="20"/>
      <c r="F30" s="21">
        <f>Accidentes!F8</f>
        <v>239456</v>
      </c>
      <c r="G30" s="20"/>
      <c r="H30" s="20"/>
      <c r="I30" s="21"/>
      <c r="J30" s="20"/>
      <c r="K30" s="20"/>
      <c r="L30" s="43">
        <f t="shared" si="5"/>
        <v>239456</v>
      </c>
    </row>
    <row r="31">
      <c r="A31" s="41" t="s">
        <v>9</v>
      </c>
      <c r="B31" s="21">
        <f>'Beneficio en inyección'!$D$13</f>
        <v>148450.918</v>
      </c>
      <c r="C31" s="21">
        <f>'Beneficio en inyección'!$D$13</f>
        <v>148450.918</v>
      </c>
      <c r="D31" s="21">
        <f>'Beneficio en inyección'!$D$13</f>
        <v>148450.918</v>
      </c>
      <c r="E31" s="21">
        <f>'Beneficio en inyección'!$D$13</f>
        <v>148450.918</v>
      </c>
      <c r="F31" s="21">
        <f>'Beneficio en inyección'!$D$13</f>
        <v>148450.918</v>
      </c>
      <c r="G31" s="21">
        <f>'Beneficio en inyección'!$D$13</f>
        <v>148450.918</v>
      </c>
      <c r="H31" s="21">
        <f>'Beneficio en inyección'!$D$13</f>
        <v>148450.918</v>
      </c>
      <c r="I31" s="21">
        <f>'Beneficio en inyección'!$D$13</f>
        <v>148450.918</v>
      </c>
      <c r="J31" s="21">
        <f>'Beneficio en inyección'!$D$13</f>
        <v>148450.918</v>
      </c>
      <c r="K31" s="21">
        <f>'Beneficio en inyección'!$D$13</f>
        <v>148450.918</v>
      </c>
      <c r="L31" s="43">
        <f t="shared" si="5"/>
        <v>1484509.18</v>
      </c>
    </row>
    <row r="32">
      <c r="A32" s="41" t="s">
        <v>10</v>
      </c>
      <c r="B32" s="21">
        <f>'Venta de plástico'!$F$32</f>
        <v>192575.336</v>
      </c>
      <c r="C32" s="21">
        <f>'Venta de plástico'!$F$32</f>
        <v>192575.336</v>
      </c>
      <c r="D32" s="21">
        <f>'Venta de plástico'!$F$32</f>
        <v>192575.336</v>
      </c>
      <c r="E32" s="21">
        <f>'Venta de plástico'!$F$32</f>
        <v>192575.336</v>
      </c>
      <c r="F32" s="21">
        <f>'Venta de plástico'!$F$32</f>
        <v>192575.336</v>
      </c>
      <c r="G32" s="21">
        <f>'Venta de plástico'!$F$32</f>
        <v>192575.336</v>
      </c>
      <c r="H32" s="21">
        <f>'Venta de plástico'!$F$32</f>
        <v>192575.336</v>
      </c>
      <c r="I32" s="21">
        <f>'Venta de plástico'!$F$32</f>
        <v>192575.336</v>
      </c>
      <c r="J32" s="21">
        <f>'Venta de plástico'!$F$32</f>
        <v>192575.336</v>
      </c>
      <c r="K32" s="21">
        <f>'Venta de plástico'!$F$32</f>
        <v>192575.336</v>
      </c>
      <c r="L32" s="43">
        <f t="shared" si="5"/>
        <v>1925753.36</v>
      </c>
    </row>
    <row r="33">
      <c r="A33" s="41" t="s">
        <v>11</v>
      </c>
      <c r="B33" s="21">
        <f>-Mantenimiento!$C$33</f>
        <v>-3896.52</v>
      </c>
      <c r="C33" s="21">
        <f>-Mantenimiento!$C$33</f>
        <v>-3896.52</v>
      </c>
      <c r="D33" s="21">
        <f>-Mantenimiento!$C$33</f>
        <v>-3896.52</v>
      </c>
      <c r="E33" s="21">
        <f>-Mantenimiento!$C$33</f>
        <v>-3896.52</v>
      </c>
      <c r="F33" s="21">
        <f>-Mantenimiento!$C$33</f>
        <v>-3896.52</v>
      </c>
      <c r="G33" s="21">
        <f>-Mantenimiento!$C$33</f>
        <v>-3896.52</v>
      </c>
      <c r="H33" s="21">
        <f>-Mantenimiento!$C$33</f>
        <v>-3896.52</v>
      </c>
      <c r="I33" s="21">
        <f>-Mantenimiento!$C$33</f>
        <v>-3896.52</v>
      </c>
      <c r="J33" s="21">
        <f>-Mantenimiento!$C$33</f>
        <v>-3896.52</v>
      </c>
      <c r="K33" s="21">
        <f>-Mantenimiento!C35</f>
        <v>-109837.8967</v>
      </c>
      <c r="L33" s="43">
        <f t="shared" si="5"/>
        <v>-144906.5767</v>
      </c>
    </row>
    <row r="34">
      <c r="A34" s="41" t="s">
        <v>13</v>
      </c>
      <c r="B34" s="21">
        <f>-'Aumento del consumo eléctrico'!$K$24</f>
        <v>-5114.289249</v>
      </c>
      <c r="C34" s="21">
        <f>-'Aumento del consumo eléctrico'!$K$24</f>
        <v>-5114.289249</v>
      </c>
      <c r="D34" s="21">
        <f>-'Aumento del consumo eléctrico'!$K$24</f>
        <v>-5114.289249</v>
      </c>
      <c r="E34" s="21">
        <f>-'Aumento del consumo eléctrico'!$K$24</f>
        <v>-5114.289249</v>
      </c>
      <c r="F34" s="21">
        <f>-'Aumento del consumo eléctrico'!$K$24</f>
        <v>-5114.289249</v>
      </c>
      <c r="G34" s="21">
        <f>-'Aumento del consumo eléctrico'!$K$24</f>
        <v>-5114.289249</v>
      </c>
      <c r="H34" s="21">
        <f>-'Aumento del consumo eléctrico'!$K$24</f>
        <v>-5114.289249</v>
      </c>
      <c r="I34" s="21">
        <f>-'Aumento del consumo eléctrico'!$K$24</f>
        <v>-5114.289249</v>
      </c>
      <c r="J34" s="21">
        <f>-'Aumento del consumo eléctrico'!$K$24</f>
        <v>-5114.289249</v>
      </c>
      <c r="K34" s="21">
        <f>-'Aumento del consumo eléctrico'!$K$24</f>
        <v>-5114.289249</v>
      </c>
      <c r="L34" s="43">
        <f t="shared" si="5"/>
        <v>-51142.89249</v>
      </c>
    </row>
    <row r="35">
      <c r="A35" s="41" t="s">
        <v>15</v>
      </c>
      <c r="B35" s="21">
        <f>'Mano de obra'!$G$11/10</f>
        <v>-56795.68</v>
      </c>
      <c r="C35" s="21">
        <f>'Mano de obra'!$G$11/10</f>
        <v>-56795.68</v>
      </c>
      <c r="D35" s="21">
        <f>'Mano de obra'!$G$11/10</f>
        <v>-56795.68</v>
      </c>
      <c r="E35" s="21">
        <f>'Mano de obra'!$G$11/10</f>
        <v>-56795.68</v>
      </c>
      <c r="F35" s="21">
        <f>'Mano de obra'!$G$11/10</f>
        <v>-56795.68</v>
      </c>
      <c r="G35" s="21">
        <f>'Mano de obra'!$G$11/10</f>
        <v>-56795.68</v>
      </c>
      <c r="H35" s="21">
        <f>'Mano de obra'!$G$11/10</f>
        <v>-56795.68</v>
      </c>
      <c r="I35" s="21">
        <f>'Mano de obra'!$G$11/10</f>
        <v>-56795.68</v>
      </c>
      <c r="J35" s="21">
        <f>'Mano de obra'!$G$11/10</f>
        <v>-56795.68</v>
      </c>
      <c r="K35" s="21">
        <f>'Mano de obra'!$G$11/10</f>
        <v>-56795.68</v>
      </c>
      <c r="L35" s="43">
        <f t="shared" si="5"/>
        <v>-567956.8</v>
      </c>
    </row>
    <row r="36">
      <c r="A36" s="2" t="s">
        <v>16</v>
      </c>
      <c r="B36" s="51">
        <f t="shared" ref="B36:L36" si="6">SUM(B29:B35)</f>
        <v>275219.7648</v>
      </c>
      <c r="C36" s="51">
        <f t="shared" si="6"/>
        <v>275219.7648</v>
      </c>
      <c r="D36" s="51">
        <f t="shared" si="6"/>
        <v>275219.7648</v>
      </c>
      <c r="E36" s="51">
        <f t="shared" si="6"/>
        <v>275219.7648</v>
      </c>
      <c r="F36" s="51">
        <f t="shared" si="6"/>
        <v>514675.7648</v>
      </c>
      <c r="G36" s="51">
        <f t="shared" si="6"/>
        <v>275219.7648</v>
      </c>
      <c r="H36" s="51">
        <f t="shared" si="6"/>
        <v>275219.7648</v>
      </c>
      <c r="I36" s="51">
        <f t="shared" si="6"/>
        <v>275219.7648</v>
      </c>
      <c r="J36" s="51">
        <f t="shared" si="6"/>
        <v>275219.7648</v>
      </c>
      <c r="K36" s="51">
        <f t="shared" si="6"/>
        <v>169278.3881</v>
      </c>
      <c r="L36" s="58">
        <f t="shared" si="6"/>
        <v>2885712.271</v>
      </c>
    </row>
    <row r="37">
      <c r="A37" s="2" t="s">
        <v>17</v>
      </c>
      <c r="B37" s="59">
        <f t="array" ref="B37">NPV(K8,C23:K23,B36)+B23</f>
        <v>-1487171.507</v>
      </c>
      <c r="C37" s="59">
        <f t="shared" ref="C37:K37" si="7">NPV($K$8,$C$23:$K$23,$B$36:C36)+$B$23</f>
        <v>-1294364.964</v>
      </c>
      <c r="D37" s="59">
        <f t="shared" si="7"/>
        <v>-1107696.458</v>
      </c>
      <c r="E37" s="59">
        <f t="shared" si="7"/>
        <v>-926970.5823</v>
      </c>
      <c r="F37" s="59">
        <f t="shared" si="7"/>
        <v>-599762.7254</v>
      </c>
      <c r="G37" s="59">
        <f t="shared" si="7"/>
        <v>-430360.5784</v>
      </c>
      <c r="H37" s="59">
        <f t="shared" si="7"/>
        <v>-266351.3836</v>
      </c>
      <c r="I37" s="59">
        <f t="shared" si="7"/>
        <v>-107563.4553</v>
      </c>
      <c r="J37" s="59">
        <f t="shared" si="7"/>
        <v>46169.42653</v>
      </c>
      <c r="K37" s="59">
        <f t="shared" si="7"/>
        <v>137715.1266</v>
      </c>
      <c r="L37" s="43">
        <f>K37</f>
        <v>137715.1266</v>
      </c>
    </row>
    <row r="48">
      <c r="A48" s="37" t="s">
        <v>22</v>
      </c>
      <c r="B48" s="38" t="s">
        <v>19</v>
      </c>
      <c r="C48" s="39"/>
      <c r="D48" s="39"/>
      <c r="E48" s="39"/>
      <c r="F48" s="39"/>
      <c r="G48" s="39"/>
      <c r="H48" s="39"/>
      <c r="I48" s="39"/>
      <c r="J48" s="39"/>
      <c r="K48" s="8"/>
      <c r="L48" s="37" t="s">
        <v>20</v>
      </c>
    </row>
    <row r="49">
      <c r="A49" s="40"/>
      <c r="B49" s="2">
        <v>1.0</v>
      </c>
      <c r="C49" s="2">
        <v>2.0</v>
      </c>
      <c r="D49" s="2">
        <v>3.0</v>
      </c>
      <c r="E49" s="2">
        <v>4.0</v>
      </c>
      <c r="F49" s="2">
        <v>5.0</v>
      </c>
      <c r="G49" s="2">
        <v>6.0</v>
      </c>
      <c r="H49" s="2">
        <v>7.0</v>
      </c>
      <c r="I49" s="2">
        <v>8.0</v>
      </c>
      <c r="J49" s="2">
        <v>9.0</v>
      </c>
      <c r="K49" s="2">
        <v>10.0</v>
      </c>
      <c r="L49" s="40"/>
    </row>
    <row r="50">
      <c r="A50" s="41" t="s">
        <v>5</v>
      </c>
      <c r="B50" s="41"/>
      <c r="C50" s="20"/>
      <c r="D50" s="20"/>
      <c r="E50" s="20"/>
      <c r="F50" s="20"/>
      <c r="G50" s="41"/>
      <c r="H50" s="20"/>
      <c r="I50" s="20"/>
      <c r="J50" s="20"/>
      <c r="K50" s="20"/>
      <c r="L50" s="43">
        <f t="shared" ref="L50:L56" si="8">SUM(B50:K50)</f>
        <v>0</v>
      </c>
    </row>
    <row r="51">
      <c r="A51" s="41" t="s">
        <v>7</v>
      </c>
      <c r="B51" s="20"/>
      <c r="C51" s="20"/>
      <c r="D51" s="20"/>
      <c r="E51" s="20"/>
      <c r="F51" s="21">
        <f>Accidentes!$F$9/2</f>
        <v>419048</v>
      </c>
      <c r="G51" s="21">
        <f>Accidentes!$F$9/2</f>
        <v>419048</v>
      </c>
      <c r="H51" s="20"/>
      <c r="I51" s="21"/>
      <c r="J51" s="20"/>
      <c r="K51" s="20"/>
      <c r="L51" s="43">
        <f t="shared" si="8"/>
        <v>838096</v>
      </c>
    </row>
    <row r="52">
      <c r="A52" s="41" t="s">
        <v>9</v>
      </c>
      <c r="B52" s="21">
        <f>'Beneficio en inyección'!$D$13</f>
        <v>148450.918</v>
      </c>
      <c r="C52" s="21">
        <f>'Beneficio en inyección'!$D$13</f>
        <v>148450.918</v>
      </c>
      <c r="D52" s="21">
        <f>'Beneficio en inyección'!$D$13</f>
        <v>148450.918</v>
      </c>
      <c r="E52" s="21">
        <f>'Beneficio en inyección'!$D$13</f>
        <v>148450.918</v>
      </c>
      <c r="F52" s="21">
        <f>'Beneficio en inyección'!$D$13</f>
        <v>148450.918</v>
      </c>
      <c r="G52" s="21">
        <f>'Beneficio en inyección'!$D$13</f>
        <v>148450.918</v>
      </c>
      <c r="H52" s="21">
        <f>'Beneficio en inyección'!$D$13</f>
        <v>148450.918</v>
      </c>
      <c r="I52" s="21">
        <f>'Beneficio en inyección'!$D$13</f>
        <v>148450.918</v>
      </c>
      <c r="J52" s="21">
        <f>'Beneficio en inyección'!$D$13</f>
        <v>148450.918</v>
      </c>
      <c r="K52" s="21">
        <f>'Beneficio en inyección'!$D$13</f>
        <v>148450.918</v>
      </c>
      <c r="L52" s="43">
        <f t="shared" si="8"/>
        <v>1484509.18</v>
      </c>
    </row>
    <row r="53">
      <c r="A53" s="41" t="s">
        <v>10</v>
      </c>
      <c r="B53" s="21">
        <f>'Venta de plástico'!$F$32</f>
        <v>192575.336</v>
      </c>
      <c r="C53" s="21">
        <f>'Venta de plástico'!$F$32</f>
        <v>192575.336</v>
      </c>
      <c r="D53" s="21">
        <f>'Venta de plástico'!$F$32</f>
        <v>192575.336</v>
      </c>
      <c r="E53" s="21">
        <f>'Venta de plástico'!$F$32</f>
        <v>192575.336</v>
      </c>
      <c r="F53" s="21">
        <f>'Venta de plástico'!$F$32</f>
        <v>192575.336</v>
      </c>
      <c r="G53" s="21">
        <f>'Venta de plástico'!$F$32</f>
        <v>192575.336</v>
      </c>
      <c r="H53" s="21">
        <f>'Venta de plástico'!$F$32</f>
        <v>192575.336</v>
      </c>
      <c r="I53" s="21">
        <f>'Venta de plástico'!$F$32</f>
        <v>192575.336</v>
      </c>
      <c r="J53" s="21">
        <f>'Venta de plástico'!$F$32</f>
        <v>192575.336</v>
      </c>
      <c r="K53" s="21">
        <f>'Venta de plástico'!$F$32</f>
        <v>192575.336</v>
      </c>
      <c r="L53" s="43">
        <f t="shared" si="8"/>
        <v>1925753.36</v>
      </c>
    </row>
    <row r="54">
      <c r="A54" s="41" t="s">
        <v>11</v>
      </c>
      <c r="B54" s="21">
        <f>-Mantenimiento!$C$33</f>
        <v>-3896.52</v>
      </c>
      <c r="C54" s="21">
        <f>-Mantenimiento!$C$33</f>
        <v>-3896.52</v>
      </c>
      <c r="D54" s="21">
        <f>-Mantenimiento!$C$33</f>
        <v>-3896.52</v>
      </c>
      <c r="E54" s="21">
        <f>-Mantenimiento!$C$33</f>
        <v>-3896.52</v>
      </c>
      <c r="F54" s="21">
        <f>-Mantenimiento!$C$33</f>
        <v>-3896.52</v>
      </c>
      <c r="G54" s="21">
        <f>-Mantenimiento!$C$33</f>
        <v>-3896.52</v>
      </c>
      <c r="H54" s="21">
        <f>-Mantenimiento!$C$33</f>
        <v>-3896.52</v>
      </c>
      <c r="I54" s="21">
        <f>-Mantenimiento!$C$33</f>
        <v>-3896.52</v>
      </c>
      <c r="J54" s="21">
        <f>-Mantenimiento!$C$33</f>
        <v>-3896.52</v>
      </c>
      <c r="K54" s="21">
        <f>-Mantenimiento!$C$35</f>
        <v>-109837.8967</v>
      </c>
      <c r="L54" s="43">
        <f t="shared" si="8"/>
        <v>-144906.5767</v>
      </c>
    </row>
    <row r="55">
      <c r="A55" s="41" t="s">
        <v>13</v>
      </c>
      <c r="B55" s="21">
        <f>-'Aumento del consumo eléctrico'!$K$24</f>
        <v>-5114.289249</v>
      </c>
      <c r="C55" s="21">
        <f>-'Aumento del consumo eléctrico'!$K$24</f>
        <v>-5114.289249</v>
      </c>
      <c r="D55" s="21">
        <f>-'Aumento del consumo eléctrico'!$K$24</f>
        <v>-5114.289249</v>
      </c>
      <c r="E55" s="21">
        <f>-'Aumento del consumo eléctrico'!$K$24</f>
        <v>-5114.289249</v>
      </c>
      <c r="F55" s="21">
        <f>-'Aumento del consumo eléctrico'!$K$24</f>
        <v>-5114.289249</v>
      </c>
      <c r="G55" s="21">
        <f>-'Aumento del consumo eléctrico'!$K$24</f>
        <v>-5114.289249</v>
      </c>
      <c r="H55" s="21">
        <f>-'Aumento del consumo eléctrico'!$K$24</f>
        <v>-5114.289249</v>
      </c>
      <c r="I55" s="21">
        <f>-'Aumento del consumo eléctrico'!$K$24</f>
        <v>-5114.289249</v>
      </c>
      <c r="J55" s="21">
        <f>-'Aumento del consumo eléctrico'!$K$24</f>
        <v>-5114.289249</v>
      </c>
      <c r="K55" s="21">
        <f>-'Aumento del consumo eléctrico'!$K$24</f>
        <v>-5114.289249</v>
      </c>
      <c r="L55" s="43">
        <f t="shared" si="8"/>
        <v>-51142.89249</v>
      </c>
    </row>
    <row r="56">
      <c r="A56" s="41" t="s">
        <v>15</v>
      </c>
      <c r="B56" s="21">
        <f>'Mano de obra'!$G$11/10</f>
        <v>-56795.68</v>
      </c>
      <c r="C56" s="21">
        <f>'Mano de obra'!$G$11/10</f>
        <v>-56795.68</v>
      </c>
      <c r="D56" s="21">
        <f>'Mano de obra'!$G$11/10</f>
        <v>-56795.68</v>
      </c>
      <c r="E56" s="21">
        <f>'Mano de obra'!$G$11/10</f>
        <v>-56795.68</v>
      </c>
      <c r="F56" s="21">
        <f>'Mano de obra'!$G$11/10</f>
        <v>-56795.68</v>
      </c>
      <c r="G56" s="21">
        <f>'Mano de obra'!$G$11/10</f>
        <v>-56795.68</v>
      </c>
      <c r="H56" s="21">
        <f>'Mano de obra'!$G$11/10</f>
        <v>-56795.68</v>
      </c>
      <c r="I56" s="21">
        <f>'Mano de obra'!$G$11/10</f>
        <v>-56795.68</v>
      </c>
      <c r="J56" s="21">
        <f>'Mano de obra'!$G$11/10</f>
        <v>-56795.68</v>
      </c>
      <c r="K56" s="21">
        <f>'Mano de obra'!$G$11/10</f>
        <v>-56795.68</v>
      </c>
      <c r="L56" s="43">
        <f t="shared" si="8"/>
        <v>-567956.8</v>
      </c>
    </row>
    <row r="57">
      <c r="A57" s="2" t="s">
        <v>16</v>
      </c>
      <c r="B57" s="51">
        <f t="shared" ref="B57:L57" si="9">SUM(B50:B56)</f>
        <v>275219.7648</v>
      </c>
      <c r="C57" s="51">
        <f t="shared" si="9"/>
        <v>275219.7648</v>
      </c>
      <c r="D57" s="51">
        <f t="shared" si="9"/>
        <v>275219.7648</v>
      </c>
      <c r="E57" s="51">
        <f t="shared" si="9"/>
        <v>275219.7648</v>
      </c>
      <c r="F57" s="51">
        <f t="shared" si="9"/>
        <v>694267.7648</v>
      </c>
      <c r="G57" s="51">
        <f t="shared" si="9"/>
        <v>694267.7648</v>
      </c>
      <c r="H57" s="51">
        <f t="shared" si="9"/>
        <v>275219.7648</v>
      </c>
      <c r="I57" s="51">
        <f t="shared" si="9"/>
        <v>275219.7648</v>
      </c>
      <c r="J57" s="51">
        <f t="shared" si="9"/>
        <v>275219.7648</v>
      </c>
      <c r="K57" s="51">
        <f t="shared" si="9"/>
        <v>169278.3881</v>
      </c>
      <c r="L57" s="58">
        <f t="shared" si="9"/>
        <v>3484352.271</v>
      </c>
    </row>
    <row r="58">
      <c r="A58" s="2" t="s">
        <v>17</v>
      </c>
      <c r="B58" s="59">
        <f t="array" ref="B58">NPV($K$8,$C$23:$K$23,$B$36:$K$36,B57)+$B$23</f>
        <v>281815.5778</v>
      </c>
      <c r="C58" s="59">
        <f t="shared" ref="C58:K58" si="10">NPV($K$8,$C$23:$K$23,$B$36:$K$36,$B$57:C57)+$B$23</f>
        <v>421328.5615</v>
      </c>
      <c r="D58" s="59">
        <f t="shared" si="10"/>
        <v>556400.1205</v>
      </c>
      <c r="E58" s="59">
        <f t="shared" si="10"/>
        <v>687171.6487</v>
      </c>
      <c r="F58" s="59">
        <f t="shared" si="10"/>
        <v>1006553.23</v>
      </c>
      <c r="G58" s="59">
        <f t="shared" si="10"/>
        <v>1315767.233</v>
      </c>
      <c r="H58" s="59">
        <f t="shared" si="10"/>
        <v>1434442.729</v>
      </c>
      <c r="I58" s="59">
        <f t="shared" si="10"/>
        <v>1549340.167</v>
      </c>
      <c r="J58" s="59">
        <f t="shared" si="10"/>
        <v>1660579.821</v>
      </c>
      <c r="K58" s="59">
        <f t="shared" si="10"/>
        <v>1726821.42</v>
      </c>
      <c r="L58" s="43">
        <f>K58</f>
        <v>1726821.42</v>
      </c>
    </row>
    <row r="59">
      <c r="B59" s="60"/>
      <c r="C59" s="60"/>
      <c r="D59" s="60"/>
      <c r="E59" s="60"/>
      <c r="F59" s="60"/>
      <c r="G59" s="60"/>
      <c r="H59" s="60"/>
      <c r="I59" s="60"/>
      <c r="J59" s="60"/>
      <c r="K59" s="60"/>
    </row>
    <row r="61">
      <c r="A61" s="37" t="s">
        <v>23</v>
      </c>
      <c r="B61" s="61" t="s">
        <v>19</v>
      </c>
      <c r="C61" s="62"/>
      <c r="D61" s="62"/>
      <c r="E61" s="62"/>
      <c r="F61" s="62"/>
      <c r="G61" s="62"/>
      <c r="H61" s="62"/>
      <c r="I61" s="62"/>
      <c r="J61" s="62"/>
      <c r="K61" s="63"/>
      <c r="L61" s="64" t="s">
        <v>20</v>
      </c>
    </row>
    <row r="62">
      <c r="A62" s="40"/>
      <c r="B62" s="2">
        <v>1.0</v>
      </c>
      <c r="C62" s="2">
        <v>2.0</v>
      </c>
      <c r="D62" s="2">
        <v>3.0</v>
      </c>
      <c r="E62" s="2">
        <v>4.0</v>
      </c>
      <c r="F62" s="2">
        <v>5.0</v>
      </c>
      <c r="G62" s="2">
        <v>6.0</v>
      </c>
      <c r="H62" s="2">
        <v>7.0</v>
      </c>
      <c r="I62" s="2">
        <v>8.0</v>
      </c>
      <c r="J62" s="2">
        <v>9.0</v>
      </c>
      <c r="K62" s="2">
        <v>10.0</v>
      </c>
      <c r="L62" s="40"/>
    </row>
    <row r="63">
      <c r="A63" s="41" t="s">
        <v>5</v>
      </c>
      <c r="B63" s="41"/>
      <c r="C63" s="20"/>
      <c r="D63" s="20"/>
      <c r="E63" s="20"/>
      <c r="F63" s="20"/>
      <c r="G63" s="41"/>
      <c r="H63" s="20"/>
      <c r="I63" s="20"/>
      <c r="J63" s="20"/>
      <c r="K63" s="20"/>
      <c r="L63" s="43">
        <f t="shared" ref="L63:L69" si="11">SUM(B63:K63)</f>
        <v>0</v>
      </c>
    </row>
    <row r="64">
      <c r="A64" s="41" t="s">
        <v>7</v>
      </c>
      <c r="B64" s="20"/>
      <c r="C64" s="20"/>
      <c r="D64" s="20"/>
      <c r="E64" s="20"/>
      <c r="F64" s="21">
        <f>Accidentes!F8</f>
        <v>239456</v>
      </c>
      <c r="G64" s="21" t="str">
        <f>Accidentes!F22</f>
        <v/>
      </c>
      <c r="H64" s="20"/>
      <c r="I64" s="21"/>
      <c r="J64" s="20"/>
      <c r="K64" s="20"/>
      <c r="L64" s="43">
        <f t="shared" si="11"/>
        <v>239456</v>
      </c>
    </row>
    <row r="65">
      <c r="A65" s="41" t="s">
        <v>9</v>
      </c>
      <c r="B65" s="21">
        <f>'Beneficio en inyección'!$D$13</f>
        <v>148450.918</v>
      </c>
      <c r="C65" s="21">
        <f>'Beneficio en inyección'!$D$13</f>
        <v>148450.918</v>
      </c>
      <c r="D65" s="21">
        <f>'Beneficio en inyección'!$D$13</f>
        <v>148450.918</v>
      </c>
      <c r="E65" s="21">
        <f>'Beneficio en inyección'!$D$13</f>
        <v>148450.918</v>
      </c>
      <c r="F65" s="21">
        <f>'Beneficio en inyección'!$D$13</f>
        <v>148450.918</v>
      </c>
      <c r="G65" s="21">
        <f>'Beneficio en inyección'!$D$13</f>
        <v>148450.918</v>
      </c>
      <c r="H65" s="21">
        <f>'Beneficio en inyección'!$D$13</f>
        <v>148450.918</v>
      </c>
      <c r="I65" s="21">
        <f>'Beneficio en inyección'!$D$13</f>
        <v>148450.918</v>
      </c>
      <c r="J65" s="21">
        <f>'Beneficio en inyección'!$D$13</f>
        <v>148450.918</v>
      </c>
      <c r="K65" s="21">
        <f>'Beneficio en inyección'!$D$13</f>
        <v>148450.918</v>
      </c>
      <c r="L65" s="43">
        <f t="shared" si="11"/>
        <v>1484509.18</v>
      </c>
    </row>
    <row r="66">
      <c r="A66" s="41" t="s">
        <v>10</v>
      </c>
      <c r="B66" s="21">
        <f>'Venta de plástico'!$F$32</f>
        <v>192575.336</v>
      </c>
      <c r="C66" s="21">
        <f>'Venta de plástico'!$F$32</f>
        <v>192575.336</v>
      </c>
      <c r="D66" s="21">
        <f>'Venta de plástico'!$F$32</f>
        <v>192575.336</v>
      </c>
      <c r="E66" s="21">
        <f>'Venta de plástico'!$F$32</f>
        <v>192575.336</v>
      </c>
      <c r="F66" s="21">
        <f>'Venta de plástico'!$F$32</f>
        <v>192575.336</v>
      </c>
      <c r="G66" s="21">
        <f>'Venta de plástico'!$F$32</f>
        <v>192575.336</v>
      </c>
      <c r="H66" s="21">
        <f>'Venta de plástico'!$F$32</f>
        <v>192575.336</v>
      </c>
      <c r="I66" s="21">
        <f>'Venta de plástico'!$F$32</f>
        <v>192575.336</v>
      </c>
      <c r="J66" s="21">
        <f>'Venta de plástico'!$F$32</f>
        <v>192575.336</v>
      </c>
      <c r="K66" s="21">
        <f>'Venta de plástico'!$F$32</f>
        <v>192575.336</v>
      </c>
      <c r="L66" s="43">
        <f t="shared" si="11"/>
        <v>1925753.36</v>
      </c>
    </row>
    <row r="67">
      <c r="A67" s="41" t="s">
        <v>11</v>
      </c>
      <c r="B67" s="21">
        <f>-Mantenimiento!$C$33</f>
        <v>-3896.52</v>
      </c>
      <c r="C67" s="21">
        <f>-Mantenimiento!$C$33</f>
        <v>-3896.52</v>
      </c>
      <c r="D67" s="21">
        <f>-Mantenimiento!$C$33</f>
        <v>-3896.52</v>
      </c>
      <c r="E67" s="21">
        <f>-Mantenimiento!$C$33</f>
        <v>-3896.52</v>
      </c>
      <c r="F67" s="21">
        <f>-Mantenimiento!$C$33</f>
        <v>-3896.52</v>
      </c>
      <c r="G67" s="21">
        <f>-Mantenimiento!$C$33</f>
        <v>-3896.52</v>
      </c>
      <c r="H67" s="21">
        <f>-Mantenimiento!$C$33</f>
        <v>-3896.52</v>
      </c>
      <c r="I67" s="21">
        <f>-Mantenimiento!$C$33</f>
        <v>-3896.52</v>
      </c>
      <c r="J67" s="21">
        <f>-Mantenimiento!$C$33</f>
        <v>-3896.52</v>
      </c>
      <c r="K67" s="21">
        <f>-Mantenimiento!$C$35</f>
        <v>-109837.8967</v>
      </c>
      <c r="L67" s="43">
        <f t="shared" si="11"/>
        <v>-144906.5767</v>
      </c>
    </row>
    <row r="68">
      <c r="A68" s="41" t="s">
        <v>13</v>
      </c>
      <c r="B68" s="21">
        <f>-'Aumento del consumo eléctrico'!$K$24</f>
        <v>-5114.289249</v>
      </c>
      <c r="C68" s="21">
        <f>-'Aumento del consumo eléctrico'!$K$24</f>
        <v>-5114.289249</v>
      </c>
      <c r="D68" s="21">
        <f>-'Aumento del consumo eléctrico'!$K$24</f>
        <v>-5114.289249</v>
      </c>
      <c r="E68" s="21">
        <f>-'Aumento del consumo eléctrico'!$K$24</f>
        <v>-5114.289249</v>
      </c>
      <c r="F68" s="21">
        <f>-'Aumento del consumo eléctrico'!$K$24</f>
        <v>-5114.289249</v>
      </c>
      <c r="G68" s="21">
        <f>-'Aumento del consumo eléctrico'!$K$24</f>
        <v>-5114.289249</v>
      </c>
      <c r="H68" s="21">
        <f>-'Aumento del consumo eléctrico'!$K$24</f>
        <v>-5114.289249</v>
      </c>
      <c r="I68" s="21">
        <f>-'Aumento del consumo eléctrico'!$K$24</f>
        <v>-5114.289249</v>
      </c>
      <c r="J68" s="21">
        <f>-'Aumento del consumo eléctrico'!$K$24</f>
        <v>-5114.289249</v>
      </c>
      <c r="K68" s="21">
        <f>-'Aumento del consumo eléctrico'!$K$24</f>
        <v>-5114.289249</v>
      </c>
      <c r="L68" s="43">
        <f t="shared" si="11"/>
        <v>-51142.89249</v>
      </c>
    </row>
    <row r="69">
      <c r="A69" s="41" t="s">
        <v>15</v>
      </c>
      <c r="B69" s="21">
        <f>'Mano de obra'!$G$11/10</f>
        <v>-56795.68</v>
      </c>
      <c r="C69" s="21">
        <f>'Mano de obra'!$G$11/10</f>
        <v>-56795.68</v>
      </c>
      <c r="D69" s="21">
        <f>'Mano de obra'!$G$11/10</f>
        <v>-56795.68</v>
      </c>
      <c r="E69" s="21">
        <f>'Mano de obra'!$G$11/10</f>
        <v>-56795.68</v>
      </c>
      <c r="F69" s="21">
        <f>'Mano de obra'!$G$11/10</f>
        <v>-56795.68</v>
      </c>
      <c r="G69" s="21">
        <f>'Mano de obra'!$G$11/10</f>
        <v>-56795.68</v>
      </c>
      <c r="H69" s="21">
        <f>'Mano de obra'!$G$11/10</f>
        <v>-56795.68</v>
      </c>
      <c r="I69" s="21">
        <f>'Mano de obra'!$G$11/10</f>
        <v>-56795.68</v>
      </c>
      <c r="J69" s="21">
        <f>'Mano de obra'!$G$11/10</f>
        <v>-56795.68</v>
      </c>
      <c r="K69" s="21">
        <f>'Mano de obra'!$G$11/10</f>
        <v>-56795.68</v>
      </c>
      <c r="L69" s="43">
        <f t="shared" si="11"/>
        <v>-567956.8</v>
      </c>
    </row>
    <row r="70">
      <c r="A70" s="2" t="s">
        <v>16</v>
      </c>
      <c r="B70" s="51">
        <f t="shared" ref="B70:L70" si="12">SUM(B63:B69)</f>
        <v>275219.7648</v>
      </c>
      <c r="C70" s="51">
        <f t="shared" si="12"/>
        <v>275219.7648</v>
      </c>
      <c r="D70" s="51">
        <f t="shared" si="12"/>
        <v>275219.7648</v>
      </c>
      <c r="E70" s="51">
        <f t="shared" si="12"/>
        <v>275219.7648</v>
      </c>
      <c r="F70" s="51">
        <f t="shared" si="12"/>
        <v>514675.7648</v>
      </c>
      <c r="G70" s="51">
        <f t="shared" si="12"/>
        <v>275219.7648</v>
      </c>
      <c r="H70" s="51">
        <f t="shared" si="12"/>
        <v>275219.7648</v>
      </c>
      <c r="I70" s="51">
        <f t="shared" si="12"/>
        <v>275219.7648</v>
      </c>
      <c r="J70" s="51">
        <f t="shared" si="12"/>
        <v>275219.7648</v>
      </c>
      <c r="K70" s="51">
        <f t="shared" si="12"/>
        <v>169278.3881</v>
      </c>
      <c r="L70" s="58">
        <f t="shared" si="12"/>
        <v>2885712.271</v>
      </c>
    </row>
    <row r="71">
      <c r="A71" s="2" t="s">
        <v>17</v>
      </c>
      <c r="B71" s="59">
        <f t="array" ref="B71">NPV($K$8,$C$23:$K$23,$B$36:$K$36,$B$57:$K$57,B70)+$B$23</f>
        <v>1831091.139</v>
      </c>
      <c r="C71" s="59">
        <f t="shared" ref="C71:K71" si="13">NPV($K$8,$C$23:$K$23,$B$36:$K$36,$B$57:$K$57,$B$70:C70)+$B$23</f>
        <v>1932041.409</v>
      </c>
      <c r="D71" s="59">
        <f t="shared" si="13"/>
        <v>2029777.907</v>
      </c>
      <c r="E71" s="59">
        <f t="shared" si="13"/>
        <v>2124402.944</v>
      </c>
      <c r="F71" s="59">
        <f t="shared" si="13"/>
        <v>2295723.488</v>
      </c>
      <c r="G71" s="59">
        <f t="shared" si="13"/>
        <v>2384419.61</v>
      </c>
      <c r="H71" s="59">
        <f t="shared" si="13"/>
        <v>2470292.072</v>
      </c>
      <c r="I71" s="59">
        <f t="shared" si="13"/>
        <v>2553430.767</v>
      </c>
      <c r="J71" s="59">
        <f t="shared" si="13"/>
        <v>2633922.725</v>
      </c>
      <c r="K71" s="59">
        <f t="shared" si="13"/>
        <v>2681854.518</v>
      </c>
      <c r="L71" s="43">
        <f>K71</f>
        <v>2681854.518</v>
      </c>
    </row>
    <row r="72">
      <c r="B72" s="60"/>
      <c r="C72" s="60"/>
      <c r="D72" s="60"/>
      <c r="E72" s="60"/>
      <c r="F72" s="60"/>
      <c r="G72" s="60"/>
      <c r="H72" s="60"/>
      <c r="I72" s="60"/>
      <c r="J72" s="60"/>
      <c r="K72" s="60"/>
    </row>
    <row r="74">
      <c r="A74" s="37" t="s">
        <v>24</v>
      </c>
      <c r="B74" s="38" t="s">
        <v>19</v>
      </c>
      <c r="C74" s="39"/>
      <c r="D74" s="39"/>
      <c r="E74" s="39"/>
      <c r="F74" s="39"/>
      <c r="G74" s="39"/>
      <c r="H74" s="39"/>
      <c r="I74" s="39"/>
      <c r="J74" s="39"/>
      <c r="K74" s="8"/>
      <c r="L74" s="37" t="s">
        <v>20</v>
      </c>
    </row>
    <row r="75">
      <c r="A75" s="40"/>
      <c r="B75" s="2">
        <v>1.0</v>
      </c>
      <c r="C75" s="2">
        <v>2.0</v>
      </c>
      <c r="D75" s="2">
        <v>3.0</v>
      </c>
      <c r="E75" s="2">
        <v>4.0</v>
      </c>
      <c r="F75" s="2">
        <v>5.0</v>
      </c>
      <c r="G75" s="2">
        <v>6.0</v>
      </c>
      <c r="H75" s="2">
        <v>7.0</v>
      </c>
      <c r="I75" s="2">
        <v>8.0</v>
      </c>
      <c r="J75" s="2">
        <v>9.0</v>
      </c>
      <c r="K75" s="2">
        <v>10.0</v>
      </c>
      <c r="L75" s="40"/>
    </row>
    <row r="76">
      <c r="A76" s="41" t="s">
        <v>5</v>
      </c>
      <c r="B76" s="41"/>
      <c r="C76" s="20"/>
      <c r="D76" s="20"/>
      <c r="E76" s="20"/>
      <c r="F76" s="20"/>
      <c r="G76" s="41"/>
      <c r="H76" s="20"/>
      <c r="I76" s="20"/>
      <c r="J76" s="20"/>
      <c r="K76" s="20"/>
      <c r="L76" s="43">
        <f t="shared" ref="L76:L82" si="14">SUM(B76:K76)</f>
        <v>0</v>
      </c>
    </row>
    <row r="77">
      <c r="A77" s="41" t="s">
        <v>7</v>
      </c>
      <c r="B77" s="20"/>
      <c r="C77" s="65"/>
      <c r="D77" s="66">
        <f>Accidentes!$F$10/6</f>
        <v>478912</v>
      </c>
      <c r="E77" s="66">
        <f>Accidentes!$F$10/6</f>
        <v>478912</v>
      </c>
      <c r="F77" s="66">
        <f>Accidentes!$F$10/6</f>
        <v>478912</v>
      </c>
      <c r="G77" s="66">
        <f>Accidentes!$F$10/6</f>
        <v>478912</v>
      </c>
      <c r="H77" s="66">
        <f>Accidentes!$F$10/6</f>
        <v>478912</v>
      </c>
      <c r="I77" s="66">
        <f>Accidentes!$F$10/6</f>
        <v>478912</v>
      </c>
      <c r="J77" s="65"/>
      <c r="K77" s="20"/>
      <c r="L77" s="43">
        <f t="shared" si="14"/>
        <v>2873472</v>
      </c>
    </row>
    <row r="78">
      <c r="A78" s="41" t="s">
        <v>9</v>
      </c>
      <c r="B78" s="21">
        <f>'Beneficio en inyección'!$D$13</f>
        <v>148450.918</v>
      </c>
      <c r="C78" s="21">
        <f>'Beneficio en inyección'!$D$13</f>
        <v>148450.918</v>
      </c>
      <c r="D78" s="21">
        <f>'Beneficio en inyección'!$D$13</f>
        <v>148450.918</v>
      </c>
      <c r="E78" s="21">
        <f>'Beneficio en inyección'!$D$13</f>
        <v>148450.918</v>
      </c>
      <c r="F78" s="21">
        <f>'Beneficio en inyección'!$D$13</f>
        <v>148450.918</v>
      </c>
      <c r="G78" s="21">
        <f>'Beneficio en inyección'!$D$13</f>
        <v>148450.918</v>
      </c>
      <c r="H78" s="21">
        <f>'Beneficio en inyección'!$D$13</f>
        <v>148450.918</v>
      </c>
      <c r="I78" s="21">
        <f>'Beneficio en inyección'!$D$13</f>
        <v>148450.918</v>
      </c>
      <c r="J78" s="21">
        <f>'Beneficio en inyección'!$D$13</f>
        <v>148450.918</v>
      </c>
      <c r="K78" s="21">
        <f>'Beneficio en inyección'!$D$13</f>
        <v>148450.918</v>
      </c>
      <c r="L78" s="43">
        <f t="shared" si="14"/>
        <v>1484509.18</v>
      </c>
    </row>
    <row r="79">
      <c r="A79" s="41" t="s">
        <v>10</v>
      </c>
      <c r="B79" s="21">
        <f>'Venta de plástico'!$F$32</f>
        <v>192575.336</v>
      </c>
      <c r="C79" s="21">
        <f>'Venta de plástico'!$F$32</f>
        <v>192575.336</v>
      </c>
      <c r="D79" s="21">
        <f>'Venta de plástico'!$F$32</f>
        <v>192575.336</v>
      </c>
      <c r="E79" s="21">
        <f>'Venta de plástico'!$F$32</f>
        <v>192575.336</v>
      </c>
      <c r="F79" s="21">
        <f>'Venta de plástico'!$F$32</f>
        <v>192575.336</v>
      </c>
      <c r="G79" s="21">
        <f>'Venta de plástico'!$F$32</f>
        <v>192575.336</v>
      </c>
      <c r="H79" s="21">
        <f>'Venta de plástico'!$F$32</f>
        <v>192575.336</v>
      </c>
      <c r="I79" s="21">
        <f>'Venta de plástico'!$F$32</f>
        <v>192575.336</v>
      </c>
      <c r="J79" s="21">
        <f>'Venta de plástico'!$F$32</f>
        <v>192575.336</v>
      </c>
      <c r="K79" s="21">
        <f>'Venta de plástico'!$F$32</f>
        <v>192575.336</v>
      </c>
      <c r="L79" s="43">
        <f t="shared" si="14"/>
        <v>1925753.36</v>
      </c>
    </row>
    <row r="80">
      <c r="A80" s="41" t="s">
        <v>11</v>
      </c>
      <c r="B80" s="21">
        <f>-Mantenimiento!$C$33</f>
        <v>-3896.52</v>
      </c>
      <c r="C80" s="21">
        <f>-Mantenimiento!$C$33</f>
        <v>-3896.52</v>
      </c>
      <c r="D80" s="21">
        <f>-Mantenimiento!$C$33</f>
        <v>-3896.52</v>
      </c>
      <c r="E80" s="21">
        <f>-Mantenimiento!$C$33</f>
        <v>-3896.52</v>
      </c>
      <c r="F80" s="21">
        <f>-Mantenimiento!$C$33</f>
        <v>-3896.52</v>
      </c>
      <c r="G80" s="21">
        <f>-Mantenimiento!$C$33</f>
        <v>-3896.52</v>
      </c>
      <c r="H80" s="21">
        <f>-Mantenimiento!$C$33</f>
        <v>-3896.52</v>
      </c>
      <c r="I80" s="21">
        <f>-Mantenimiento!$C$33</f>
        <v>-3896.52</v>
      </c>
      <c r="J80" s="21">
        <f>-Mantenimiento!$C$33</f>
        <v>-3896.52</v>
      </c>
      <c r="K80" s="21">
        <f>-Mantenimiento!$C$35</f>
        <v>-109837.8967</v>
      </c>
      <c r="L80" s="43">
        <f t="shared" si="14"/>
        <v>-144906.5767</v>
      </c>
    </row>
    <row r="81">
      <c r="A81" s="41" t="s">
        <v>13</v>
      </c>
      <c r="B81" s="21">
        <f>-'Aumento del consumo eléctrico'!$K$24</f>
        <v>-5114.289249</v>
      </c>
      <c r="C81" s="21">
        <f>-'Aumento del consumo eléctrico'!$K$24</f>
        <v>-5114.289249</v>
      </c>
      <c r="D81" s="21">
        <f>-'Aumento del consumo eléctrico'!$K$24</f>
        <v>-5114.289249</v>
      </c>
      <c r="E81" s="21">
        <f>-'Aumento del consumo eléctrico'!$K$24</f>
        <v>-5114.289249</v>
      </c>
      <c r="F81" s="21">
        <f>-'Aumento del consumo eléctrico'!$K$24</f>
        <v>-5114.289249</v>
      </c>
      <c r="G81" s="21">
        <f>-'Aumento del consumo eléctrico'!$K$24</f>
        <v>-5114.289249</v>
      </c>
      <c r="H81" s="21">
        <f>-'Aumento del consumo eléctrico'!$K$24</f>
        <v>-5114.289249</v>
      </c>
      <c r="I81" s="21">
        <f>-'Aumento del consumo eléctrico'!$K$24</f>
        <v>-5114.289249</v>
      </c>
      <c r="J81" s="21">
        <f>-'Aumento del consumo eléctrico'!$K$24</f>
        <v>-5114.289249</v>
      </c>
      <c r="K81" s="21">
        <f>-'Aumento del consumo eléctrico'!$K$24</f>
        <v>-5114.289249</v>
      </c>
      <c r="L81" s="43">
        <f t="shared" si="14"/>
        <v>-51142.89249</v>
      </c>
    </row>
    <row r="82">
      <c r="A82" s="41" t="s">
        <v>15</v>
      </c>
      <c r="B82" s="21">
        <f>'Mano de obra'!$G$11/10</f>
        <v>-56795.68</v>
      </c>
      <c r="C82" s="21">
        <f>'Mano de obra'!$G$11/10</f>
        <v>-56795.68</v>
      </c>
      <c r="D82" s="21">
        <f>'Mano de obra'!$G$11/10</f>
        <v>-56795.68</v>
      </c>
      <c r="E82" s="21">
        <f>'Mano de obra'!$G$11/10</f>
        <v>-56795.68</v>
      </c>
      <c r="F82" s="21">
        <f>'Mano de obra'!$G$11/10</f>
        <v>-56795.68</v>
      </c>
      <c r="G82" s="21">
        <f>'Mano de obra'!$G$11/10</f>
        <v>-56795.68</v>
      </c>
      <c r="H82" s="21">
        <f>'Mano de obra'!$G$11/10</f>
        <v>-56795.68</v>
      </c>
      <c r="I82" s="21">
        <f>'Mano de obra'!$G$11/10</f>
        <v>-56795.68</v>
      </c>
      <c r="J82" s="21">
        <f>'Mano de obra'!$G$11/10</f>
        <v>-56795.68</v>
      </c>
      <c r="K82" s="21">
        <f>'Mano de obra'!$G$11/10</f>
        <v>-56795.68</v>
      </c>
      <c r="L82" s="43">
        <f t="shared" si="14"/>
        <v>-567956.8</v>
      </c>
    </row>
    <row r="83">
      <c r="A83" s="2" t="s">
        <v>16</v>
      </c>
      <c r="B83" s="51">
        <f t="shared" ref="B83:L83" si="15">SUM(B76:B82)</f>
        <v>275219.7648</v>
      </c>
      <c r="C83" s="51">
        <f t="shared" si="15"/>
        <v>275219.7648</v>
      </c>
      <c r="D83" s="51">
        <f t="shared" si="15"/>
        <v>754131.7648</v>
      </c>
      <c r="E83" s="51">
        <f t="shared" si="15"/>
        <v>754131.7648</v>
      </c>
      <c r="F83" s="51">
        <f t="shared" si="15"/>
        <v>754131.7648</v>
      </c>
      <c r="G83" s="51">
        <f t="shared" si="15"/>
        <v>754131.7648</v>
      </c>
      <c r="H83" s="51">
        <f t="shared" si="15"/>
        <v>754131.7648</v>
      </c>
      <c r="I83" s="51">
        <f t="shared" si="15"/>
        <v>754131.7648</v>
      </c>
      <c r="J83" s="51">
        <f t="shared" si="15"/>
        <v>275219.7648</v>
      </c>
      <c r="K83" s="51">
        <f t="shared" si="15"/>
        <v>169278.3881</v>
      </c>
      <c r="L83" s="58">
        <f t="shared" si="15"/>
        <v>5519728.271</v>
      </c>
    </row>
    <row r="84">
      <c r="A84" s="2" t="s">
        <v>17</v>
      </c>
      <c r="B84" s="59">
        <f t="array" ref="B84">NPV(K8,$C$23:$K$23,$B$36:$K$36,$B$57:$K$57,$B$70:$K$70,B83)+B23</f>
        <v>2757303.096</v>
      </c>
      <c r="C84" s="59">
        <f t="shared" ref="C84:K84" si="16">NPV($K$8,$C$23:$K$23,$B$36:$K$36,$B$57:$K$57,$B$70:$K$70,$B$83:C83)+$B$23</f>
        <v>2830349.754</v>
      </c>
      <c r="D84" s="59">
        <f t="shared" si="16"/>
        <v>3024133.456</v>
      </c>
      <c r="E84" s="59">
        <f t="shared" si="16"/>
        <v>3211748.014</v>
      </c>
      <c r="F84" s="59">
        <f t="shared" si="16"/>
        <v>3393389.824</v>
      </c>
      <c r="G84" s="59">
        <f t="shared" si="16"/>
        <v>3569249.03</v>
      </c>
      <c r="H84" s="59">
        <f t="shared" si="16"/>
        <v>3739509.721</v>
      </c>
      <c r="I84" s="59">
        <f t="shared" si="16"/>
        <v>3904350.129</v>
      </c>
      <c r="J84" s="59">
        <f t="shared" si="16"/>
        <v>3962593.345</v>
      </c>
      <c r="K84" s="59">
        <f t="shared" si="16"/>
        <v>3997276.335</v>
      </c>
      <c r="L84" s="43">
        <f>K84</f>
        <v>3997276.335</v>
      </c>
    </row>
  </sheetData>
  <mergeCells count="23">
    <mergeCell ref="A1:A2"/>
    <mergeCell ref="A14:A15"/>
    <mergeCell ref="A27:A28"/>
    <mergeCell ref="A48:A49"/>
    <mergeCell ref="A61:A62"/>
    <mergeCell ref="A74:A75"/>
    <mergeCell ref="C1:G1"/>
    <mergeCell ref="I1:J1"/>
    <mergeCell ref="I2:J2"/>
    <mergeCell ref="I3:J3"/>
    <mergeCell ref="I4:J4"/>
    <mergeCell ref="I7:J7"/>
    <mergeCell ref="I8:J8"/>
    <mergeCell ref="B61:K61"/>
    <mergeCell ref="B74:K74"/>
    <mergeCell ref="L74:L75"/>
    <mergeCell ref="B14:K14"/>
    <mergeCell ref="L14:L15"/>
    <mergeCell ref="B27:K27"/>
    <mergeCell ref="L27:L28"/>
    <mergeCell ref="B48:K48"/>
    <mergeCell ref="L48:L49"/>
    <mergeCell ref="L61:L62"/>
  </mergeCells>
  <conditionalFormatting sqref="I12">
    <cfRule type="notContainsBlanks" dxfId="0" priority="1">
      <formula>LEN(TRIM(I12))&gt;0</formula>
    </cfRule>
  </conditionalFormatting>
  <conditionalFormatting sqref="B3:G10 B16:H23 I16 J16:M23 I19:I23 B29:K36 L29:L37 A42 B42:K93 L42:L94 A50:A76 A78 A80 A84 A86">
    <cfRule type="cellIs" dxfId="1" priority="2" operator="lessThanOrEqual">
      <formula>0</formula>
    </cfRule>
  </conditionalFormatting>
  <conditionalFormatting sqref="B11:G11 B24 C24:L25 M24 B37:L37 A43:E43 H43 A47:A81 B47:E87 H47:H87 F48:G86 I48:I87 J48:K86 L50:L60 L63:L75 L77:L86 A87 B94:L94">
    <cfRule type="cellIs" dxfId="2" priority="3" operator="lessThanOrEqual">
      <formula>0</formula>
    </cfRule>
  </conditionalFormatting>
  <conditionalFormatting sqref="B11:G11 B24 C24:L25 M24 B37:L37 A43:E43 H43 A47:A81 B47:E87 H47:H87 F48:G86 I48:I87 J48:K86 L50:L60 L63:L75 L77:L86 A87 B94:L94">
    <cfRule type="cellIs" dxfId="3" priority="4" operator="greaterThanOrEqual">
      <formula>0</formula>
    </cfRule>
  </conditionalFormatting>
  <printOptions horizontalCentered="1"/>
  <pageMargins bottom="0.984251968503937" footer="0.0" header="0.0" left="0.984251968503937" right="0.39370078740157477" top="0.984251968503937"/>
  <pageSetup fitToHeight="0" paperSize="8" cellComments="atEnd" orientation="landscape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5.43"/>
    <col customWidth="1" min="2" max="2" width="15.71"/>
    <col customWidth="1" min="4" max="4" width="15.43"/>
    <col customWidth="1" min="5" max="5" width="16.43"/>
    <col customWidth="1" min="6" max="6" width="16.86"/>
    <col customWidth="1" min="7" max="7" width="15.14"/>
    <col customWidth="1" min="9" max="9" width="23.71"/>
    <col customWidth="1" min="10" max="10" width="22.0"/>
    <col customWidth="1" min="11" max="11" width="20.14"/>
    <col customWidth="1" min="12" max="12" width="18.14"/>
  </cols>
  <sheetData>
    <row r="1">
      <c r="A1" s="254" t="s">
        <v>645</v>
      </c>
      <c r="B1" s="254" t="s">
        <v>830</v>
      </c>
      <c r="C1" s="255" t="s">
        <v>831</v>
      </c>
      <c r="D1" s="255" t="s">
        <v>832</v>
      </c>
      <c r="E1" s="254" t="s">
        <v>833</v>
      </c>
      <c r="F1" s="255" t="s">
        <v>834</v>
      </c>
      <c r="G1" s="256" t="s">
        <v>835</v>
      </c>
      <c r="H1" s="256" t="s">
        <v>836</v>
      </c>
      <c r="I1" s="256" t="s">
        <v>837</v>
      </c>
      <c r="J1" s="256" t="s">
        <v>838</v>
      </c>
      <c r="K1" s="256" t="s">
        <v>839</v>
      </c>
      <c r="L1" s="256" t="s">
        <v>840</v>
      </c>
      <c r="M1" s="6"/>
      <c r="N1" s="6"/>
      <c r="P1" s="6"/>
    </row>
    <row r="2">
      <c r="A2" s="257" t="s">
        <v>841</v>
      </c>
      <c r="B2" s="257" t="s">
        <v>842</v>
      </c>
      <c r="C2" s="258">
        <v>2001.0</v>
      </c>
      <c r="D2" s="258">
        <v>143.34</v>
      </c>
      <c r="E2" s="258" t="s">
        <v>843</v>
      </c>
      <c r="F2" s="258" t="s">
        <v>844</v>
      </c>
      <c r="G2" s="259" t="s">
        <v>845</v>
      </c>
      <c r="H2" s="259" t="s">
        <v>242</v>
      </c>
      <c r="I2" s="259" t="s">
        <v>846</v>
      </c>
      <c r="J2" s="259" t="s">
        <v>847</v>
      </c>
      <c r="K2" s="259" t="s">
        <v>848</v>
      </c>
      <c r="L2" s="260" t="s">
        <v>849</v>
      </c>
      <c r="M2" s="6"/>
      <c r="N2" s="6"/>
      <c r="P2" s="6"/>
    </row>
    <row r="3">
      <c r="A3" s="257" t="s">
        <v>850</v>
      </c>
      <c r="B3" s="257" t="s">
        <v>851</v>
      </c>
      <c r="C3" s="258">
        <v>1998.0</v>
      </c>
      <c r="D3" s="258">
        <v>175.33</v>
      </c>
      <c r="E3" s="258" t="s">
        <v>852</v>
      </c>
      <c r="F3" s="258" t="s">
        <v>853</v>
      </c>
      <c r="G3" s="259" t="s">
        <v>854</v>
      </c>
      <c r="H3" s="259" t="s">
        <v>855</v>
      </c>
      <c r="I3" s="259" t="s">
        <v>856</v>
      </c>
      <c r="J3" s="259" t="s">
        <v>857</v>
      </c>
      <c r="K3" s="259" t="s">
        <v>858</v>
      </c>
      <c r="L3" s="260" t="s">
        <v>859</v>
      </c>
      <c r="M3" s="6"/>
      <c r="N3" s="6"/>
      <c r="P3" s="6"/>
    </row>
    <row r="4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</row>
    <row r="5">
      <c r="A5" s="144" t="s">
        <v>860</v>
      </c>
      <c r="B5" s="2" t="s">
        <v>668</v>
      </c>
      <c r="C5" s="2" t="s">
        <v>684</v>
      </c>
      <c r="D5" s="2" t="s">
        <v>861</v>
      </c>
      <c r="E5" s="2" t="s">
        <v>862</v>
      </c>
      <c r="F5" s="2" t="s">
        <v>863</v>
      </c>
      <c r="G5" s="6"/>
      <c r="H5" s="6"/>
      <c r="I5" s="6"/>
      <c r="J5" s="6"/>
      <c r="K5" s="6"/>
      <c r="L5" s="6"/>
      <c r="M5" s="6"/>
      <c r="N5" s="6"/>
      <c r="O5" s="6"/>
      <c r="P5" s="6"/>
    </row>
    <row r="6">
      <c r="A6" s="100"/>
      <c r="B6" s="126">
        <v>73.0</v>
      </c>
      <c r="C6" s="126">
        <f t="shared" ref="C6:C7" si="1">B6*8</f>
        <v>584</v>
      </c>
      <c r="D6" s="177">
        <v>748.3</v>
      </c>
      <c r="E6" s="21">
        <f t="shared" ref="E6:E7" si="2">C6*D6</f>
        <v>437007.2</v>
      </c>
      <c r="F6" s="261">
        <f>SUM(E6:E7)</f>
        <v>507451.2</v>
      </c>
      <c r="G6" s="6"/>
      <c r="H6" s="6"/>
      <c r="I6" s="6"/>
      <c r="J6" s="6"/>
      <c r="K6" s="6"/>
      <c r="L6" s="6"/>
      <c r="M6" s="6"/>
      <c r="N6" s="6"/>
      <c r="O6" s="6"/>
      <c r="P6" s="6"/>
    </row>
    <row r="7">
      <c r="A7" s="40"/>
      <c r="B7" s="126">
        <v>11.0</v>
      </c>
      <c r="C7" s="126">
        <f t="shared" si="1"/>
        <v>88</v>
      </c>
      <c r="D7" s="177">
        <v>800.5</v>
      </c>
      <c r="E7" s="21">
        <f t="shared" si="2"/>
        <v>70444</v>
      </c>
      <c r="F7" s="40"/>
      <c r="G7" s="6"/>
      <c r="H7" s="6"/>
      <c r="I7" s="6"/>
      <c r="J7" s="6"/>
      <c r="K7" s="6"/>
      <c r="L7" s="6"/>
      <c r="M7" s="6"/>
      <c r="N7" s="6"/>
      <c r="O7" s="6"/>
      <c r="P7" s="6"/>
    </row>
    <row r="8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>
      <c r="A9" s="6"/>
      <c r="B9" s="6"/>
      <c r="C9" s="6"/>
      <c r="D9" s="262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>
      <c r="A10" s="263" t="s">
        <v>864</v>
      </c>
      <c r="B10" s="159" t="s">
        <v>668</v>
      </c>
      <c r="C10" s="159" t="s">
        <v>684</v>
      </c>
      <c r="D10" s="159" t="s">
        <v>861</v>
      </c>
      <c r="E10" s="264" t="s">
        <v>862</v>
      </c>
      <c r="F10" s="265"/>
      <c r="G10" s="2" t="s">
        <v>865</v>
      </c>
      <c r="H10" s="6"/>
      <c r="I10" s="6"/>
      <c r="J10" s="6"/>
      <c r="K10" s="6"/>
      <c r="L10" s="6"/>
      <c r="M10" s="6"/>
      <c r="N10" s="6"/>
      <c r="O10" s="6"/>
      <c r="P10" s="6"/>
    </row>
    <row r="11">
      <c r="A11" s="40"/>
      <c r="B11" s="183">
        <f>10*20</f>
        <v>200</v>
      </c>
      <c r="C11" s="183">
        <f>8*B11</f>
        <v>1600</v>
      </c>
      <c r="D11" s="177">
        <v>672.13</v>
      </c>
      <c r="E11" s="266">
        <f>C11*D11</f>
        <v>1075408</v>
      </c>
      <c r="F11" s="267"/>
      <c r="G11" s="268">
        <f>F6-E11</f>
        <v>-567956.8</v>
      </c>
      <c r="H11" s="6"/>
      <c r="I11" s="6"/>
      <c r="J11" s="6"/>
      <c r="K11" s="6"/>
      <c r="L11" s="6"/>
      <c r="M11" s="6"/>
      <c r="N11" s="6"/>
      <c r="O11" s="6"/>
      <c r="P11" s="6"/>
    </row>
    <row r="12">
      <c r="A12" s="269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</sheetData>
  <mergeCells count="3">
    <mergeCell ref="A5:A7"/>
    <mergeCell ref="F6:F7"/>
    <mergeCell ref="A10:A1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.86"/>
    <col customWidth="1" min="2" max="2" width="25.14"/>
    <col customWidth="1" min="3" max="3" width="13.86"/>
    <col customWidth="1" min="4" max="4" width="13.71"/>
    <col customWidth="1" min="5" max="5" width="13.0"/>
    <col customWidth="1" min="6" max="6" width="12.71"/>
    <col customWidth="1" min="7" max="8" width="13.0"/>
    <col customWidth="1" min="9" max="9" width="16.86"/>
    <col customWidth="1" min="10" max="10" width="17.57"/>
    <col customWidth="1" min="11" max="11" width="20.14"/>
    <col customWidth="1" min="12" max="12" width="17.57"/>
    <col customWidth="1" min="13" max="13" width="20.29"/>
    <col customWidth="1" min="14" max="14" width="20.57"/>
  </cols>
  <sheetData>
    <row r="1">
      <c r="A1" s="67"/>
      <c r="B1" s="67"/>
      <c r="C1" s="68"/>
      <c r="D1" s="68"/>
      <c r="E1" s="68"/>
      <c r="F1" s="68"/>
      <c r="G1" s="68"/>
      <c r="H1" s="68"/>
      <c r="I1" s="6"/>
      <c r="J1" s="69"/>
      <c r="K1" s="69"/>
      <c r="L1" s="70"/>
    </row>
    <row r="2">
      <c r="A2" s="67"/>
      <c r="B2" s="71" t="s">
        <v>0</v>
      </c>
      <c r="C2" s="72" t="s">
        <v>25</v>
      </c>
      <c r="D2" s="3" t="s">
        <v>2</v>
      </c>
      <c r="E2" s="4"/>
      <c r="F2" s="4"/>
      <c r="G2" s="4"/>
      <c r="H2" s="5"/>
      <c r="I2" s="6"/>
      <c r="J2" s="7" t="s">
        <v>3</v>
      </c>
      <c r="K2" s="8"/>
      <c r="L2" s="9">
        <v>0.34</v>
      </c>
    </row>
    <row r="3">
      <c r="A3" s="67"/>
      <c r="B3" s="10"/>
      <c r="C3" s="73"/>
      <c r="D3" s="11">
        <v>1.0</v>
      </c>
      <c r="E3" s="11">
        <v>2.0</v>
      </c>
      <c r="F3" s="11">
        <v>3.0</v>
      </c>
      <c r="G3" s="11">
        <v>4.0</v>
      </c>
      <c r="H3" s="12">
        <v>5.0</v>
      </c>
      <c r="I3" s="6"/>
      <c r="J3" s="7" t="s">
        <v>4</v>
      </c>
      <c r="K3" s="8"/>
      <c r="L3" s="9">
        <f>L2/(1+L2)</f>
        <v>0.2537313433</v>
      </c>
    </row>
    <row r="4">
      <c r="A4" s="74"/>
      <c r="B4" s="75" t="s">
        <v>5</v>
      </c>
      <c r="C4" s="76">
        <f>-'Inversión'!B12</f>
        <v>-3480745.99</v>
      </c>
      <c r="D4" s="77"/>
      <c r="E4" s="77"/>
      <c r="F4" s="77"/>
      <c r="G4" s="77"/>
      <c r="H4" s="78"/>
      <c r="I4" s="6"/>
      <c r="J4" s="17" t="s">
        <v>6</v>
      </c>
      <c r="K4" s="8"/>
      <c r="L4" s="18">
        <f>IRR(C11:H11)</f>
        <v>0.5986125344</v>
      </c>
    </row>
    <row r="5">
      <c r="A5" s="74"/>
      <c r="B5" s="79" t="s">
        <v>26</v>
      </c>
      <c r="C5" s="80"/>
      <c r="D5" s="80">
        <f>'Mano de obra'!G11*(7/10)</f>
        <v>-397569.76</v>
      </c>
      <c r="E5" s="80">
        <f>'Mano de obra'!G11</f>
        <v>-567956.8</v>
      </c>
      <c r="F5" s="80">
        <f>'Mano de obra'!G11</f>
        <v>-567956.8</v>
      </c>
      <c r="G5" s="80">
        <f>'Mano de obra'!G11</f>
        <v>-567956.8</v>
      </c>
      <c r="H5" s="81">
        <f>'Mano de obra'!G11</f>
        <v>-567956.8</v>
      </c>
      <c r="I5" s="6"/>
      <c r="J5" s="82"/>
      <c r="K5" s="82"/>
      <c r="L5" s="23"/>
    </row>
    <row r="6">
      <c r="A6" s="74"/>
      <c r="B6" s="79" t="s">
        <v>27</v>
      </c>
      <c r="C6" s="83"/>
      <c r="D6" s="80">
        <f>-'Aumento del consumo eléctrico'!K21*(7/10)</f>
        <v>-35800.02474</v>
      </c>
      <c r="E6" s="80">
        <f>-'Aumento del consumo eléctrico'!K21</f>
        <v>-51142.89249</v>
      </c>
      <c r="F6" s="80">
        <f>-'Aumento del consumo eléctrico'!K21</f>
        <v>-51142.89249</v>
      </c>
      <c r="G6" s="80">
        <f>-'Aumento del consumo eléctrico'!K21</f>
        <v>-51142.89249</v>
      </c>
      <c r="H6" s="81">
        <f>-'Aumento del consumo eléctrico'!K21</f>
        <v>-51142.89249</v>
      </c>
      <c r="I6" s="6"/>
      <c r="J6" s="17" t="s">
        <v>8</v>
      </c>
      <c r="K6" s="8"/>
      <c r="L6" s="23">
        <f>H12</f>
        <v>2923115.477</v>
      </c>
    </row>
    <row r="7">
      <c r="A7" s="84"/>
      <c r="B7" s="85" t="s">
        <v>28</v>
      </c>
      <c r="C7" s="83"/>
      <c r="D7" s="80">
        <f>SUM(F22:L22)</f>
        <v>-133217.0167</v>
      </c>
      <c r="E7" s="80">
        <f>-Mantenimiento!$C$30</f>
        <v>-144906.5767</v>
      </c>
      <c r="F7" s="80">
        <f>-Mantenimiento!$C$30</f>
        <v>-144906.5767</v>
      </c>
      <c r="G7" s="80">
        <f>-Mantenimiento!$C$30</f>
        <v>-144906.5767</v>
      </c>
      <c r="H7" s="81">
        <f>-Mantenimiento!$C$30</f>
        <v>-144906.5767</v>
      </c>
      <c r="I7" s="6"/>
    </row>
    <row r="8">
      <c r="A8" s="84"/>
      <c r="B8" s="85" t="s">
        <v>29</v>
      </c>
      <c r="C8" s="83"/>
      <c r="D8" s="80">
        <f>'Venta de plástico'!F27*(7/10)</f>
        <v>1348027.352</v>
      </c>
      <c r="E8" s="80">
        <f>'Venta de plástico'!F27</f>
        <v>1925753.36</v>
      </c>
      <c r="F8" s="80">
        <f>'Venta de plástico'!F27</f>
        <v>1925753.36</v>
      </c>
      <c r="G8" s="80">
        <f>'Venta de plástico'!F27</f>
        <v>1925753.36</v>
      </c>
      <c r="H8" s="81">
        <f>'Venta de plástico'!F27</f>
        <v>1925753.36</v>
      </c>
      <c r="I8" s="6"/>
    </row>
    <row r="9">
      <c r="A9" s="74"/>
      <c r="B9" s="79" t="s">
        <v>30</v>
      </c>
      <c r="C9" s="80"/>
      <c r="D9" s="80">
        <f>'Beneficio en inyección'!D14*(7/10)</f>
        <v>1039156.426</v>
      </c>
      <c r="E9" s="80">
        <f>'Beneficio en inyección'!D14</f>
        <v>1484509.18</v>
      </c>
      <c r="F9" s="86">
        <f>'Beneficio en inyección'!D14</f>
        <v>1484509.18</v>
      </c>
      <c r="G9" s="86">
        <f>'Beneficio en inyección'!D14</f>
        <v>1484509.18</v>
      </c>
      <c r="H9" s="87">
        <f>'Beneficio en inyección'!D14</f>
        <v>1484509.18</v>
      </c>
      <c r="I9" s="6"/>
      <c r="J9" s="7" t="s">
        <v>12</v>
      </c>
      <c r="K9" s="8"/>
      <c r="L9" s="9">
        <f>L2/10</f>
        <v>0.034</v>
      </c>
    </row>
    <row r="10">
      <c r="A10" s="74"/>
      <c r="B10" s="88" t="s">
        <v>31</v>
      </c>
      <c r="C10" s="89"/>
      <c r="D10" s="89">
        <f>Accidentes!F8</f>
        <v>239456</v>
      </c>
      <c r="E10" s="89">
        <f>Accidentes!F8</f>
        <v>239456</v>
      </c>
      <c r="F10" s="89">
        <f>Accidentes!F9</f>
        <v>838096</v>
      </c>
      <c r="G10" s="89">
        <f>Accidentes!F8</f>
        <v>239456</v>
      </c>
      <c r="H10" s="90">
        <f>Accidentes!F10</f>
        <v>2873472</v>
      </c>
      <c r="I10" s="6"/>
      <c r="J10" s="7" t="s">
        <v>14</v>
      </c>
      <c r="K10" s="8"/>
      <c r="L10" s="9">
        <f>L9/(1+L9)</f>
        <v>0.03288201161</v>
      </c>
    </row>
    <row r="11">
      <c r="A11" s="91"/>
      <c r="B11" s="92" t="s">
        <v>16</v>
      </c>
      <c r="C11" s="93">
        <f>SUM(C4:C10)</f>
        <v>-3480745.99</v>
      </c>
      <c r="D11" s="93">
        <f t="shared" ref="D11:H11" si="1">SUM(D4:D9)</f>
        <v>1820596.977</v>
      </c>
      <c r="E11" s="93">
        <f t="shared" si="1"/>
        <v>2646256.271</v>
      </c>
      <c r="F11" s="93">
        <f t="shared" si="1"/>
        <v>2646256.271</v>
      </c>
      <c r="G11" s="93">
        <f t="shared" si="1"/>
        <v>2646256.271</v>
      </c>
      <c r="H11" s="94">
        <f t="shared" si="1"/>
        <v>2646256.271</v>
      </c>
      <c r="I11" s="6"/>
      <c r="J11" s="6"/>
      <c r="K11" s="6"/>
      <c r="L11" s="6"/>
    </row>
    <row r="12">
      <c r="A12" s="91"/>
      <c r="B12" s="95" t="s">
        <v>17</v>
      </c>
      <c r="C12" s="96">
        <f>C11</f>
        <v>-3480745.99</v>
      </c>
      <c r="D12" s="97">
        <f t="array" ref="D12">NPV(L3,D11)+C11</f>
        <v>-2028603.163</v>
      </c>
      <c r="E12" s="96">
        <f t="shared" ref="E12:H12" si="2">NPV($L$3,$D$11:E11)+$C$11</f>
        <v>-345065.1246</v>
      </c>
      <c r="F12" s="96">
        <f t="shared" si="2"/>
        <v>997756.8824</v>
      </c>
      <c r="G12" s="96">
        <f t="shared" si="2"/>
        <v>2068817.293</v>
      </c>
      <c r="H12" s="96">
        <f t="shared" si="2"/>
        <v>2923115.477</v>
      </c>
      <c r="I12" s="6"/>
    </row>
    <row r="13">
      <c r="I13" s="6"/>
    </row>
    <row r="14">
      <c r="I14" s="36"/>
      <c r="J14" s="6"/>
      <c r="K14" s="6"/>
      <c r="L14" s="6"/>
    </row>
    <row r="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>
      <c r="A16" s="98"/>
      <c r="B16" s="37" t="s">
        <v>18</v>
      </c>
      <c r="C16" s="38" t="s">
        <v>19</v>
      </c>
      <c r="D16" s="39"/>
      <c r="E16" s="39"/>
      <c r="F16" s="39"/>
      <c r="G16" s="39"/>
      <c r="H16" s="39"/>
      <c r="I16" s="39"/>
      <c r="J16" s="39"/>
      <c r="K16" s="39"/>
      <c r="L16" s="8"/>
      <c r="M16" s="37" t="s">
        <v>20</v>
      </c>
      <c r="N16" s="6"/>
      <c r="O16" s="6"/>
      <c r="P16" s="6"/>
      <c r="Q16" s="6"/>
      <c r="R16" s="6"/>
      <c r="S16" s="6"/>
    </row>
    <row r="17">
      <c r="A17" s="98"/>
      <c r="B17" s="40"/>
      <c r="C17" s="2">
        <v>1.0</v>
      </c>
      <c r="D17" s="2">
        <v>2.0</v>
      </c>
      <c r="E17" s="2">
        <v>3.0</v>
      </c>
      <c r="F17" s="2">
        <v>4.0</v>
      </c>
      <c r="G17" s="2">
        <v>5.0</v>
      </c>
      <c r="H17" s="2">
        <v>6.0</v>
      </c>
      <c r="I17" s="2">
        <v>7.0</v>
      </c>
      <c r="J17" s="2">
        <v>8.0</v>
      </c>
      <c r="K17" s="2">
        <v>9.0</v>
      </c>
      <c r="L17" s="38">
        <v>10.0</v>
      </c>
      <c r="M17" s="40"/>
      <c r="N17" s="6"/>
      <c r="O17" s="6"/>
      <c r="P17" s="6"/>
      <c r="Q17" s="6"/>
      <c r="R17" s="6"/>
      <c r="S17" s="6"/>
    </row>
    <row r="18">
      <c r="A18" s="36"/>
      <c r="B18" s="41" t="s">
        <v>5</v>
      </c>
      <c r="C18" s="24">
        <f>-'Inversión'!E11</f>
        <v>-1708943.857</v>
      </c>
      <c r="D18" s="21">
        <f>-'Inversión'!G4</f>
        <v>-796857.2467</v>
      </c>
      <c r="E18" s="21">
        <f>-'Inversión'!I4</f>
        <v>-974944.8867</v>
      </c>
      <c r="F18" s="20"/>
      <c r="G18" s="20"/>
      <c r="H18" s="20"/>
      <c r="I18" s="20"/>
      <c r="J18" s="20"/>
      <c r="K18" s="20"/>
      <c r="L18" s="42"/>
      <c r="M18" s="43">
        <f t="shared" ref="M18:M24" si="3">SUM(C18:L18)</f>
        <v>-3480745.99</v>
      </c>
      <c r="N18" s="6"/>
      <c r="O18" s="6"/>
      <c r="P18" s="6"/>
      <c r="Q18" s="6"/>
      <c r="R18" s="6"/>
      <c r="S18" s="6"/>
    </row>
    <row r="19">
      <c r="A19" s="36"/>
      <c r="B19" s="41" t="s">
        <v>7</v>
      </c>
      <c r="C19" s="41">
        <v>0.0</v>
      </c>
      <c r="D19" s="41">
        <v>0.0</v>
      </c>
      <c r="E19" s="41">
        <v>0.0</v>
      </c>
      <c r="F19" s="20"/>
      <c r="G19" s="20"/>
      <c r="H19" s="20"/>
      <c r="I19" s="21">
        <f>Accidentes!F8</f>
        <v>239456</v>
      </c>
      <c r="J19" s="44"/>
      <c r="K19" s="20"/>
      <c r="L19" s="42"/>
      <c r="M19" s="43">
        <f t="shared" si="3"/>
        <v>239456</v>
      </c>
      <c r="N19" s="6"/>
      <c r="O19" s="6"/>
      <c r="P19" s="6"/>
      <c r="Q19" s="6"/>
      <c r="R19" s="6"/>
      <c r="S19" s="6"/>
    </row>
    <row r="20">
      <c r="A20" s="36"/>
      <c r="B20" s="41" t="s">
        <v>9</v>
      </c>
      <c r="C20" s="41">
        <v>0.0</v>
      </c>
      <c r="D20" s="41">
        <v>0.0</v>
      </c>
      <c r="E20" s="41">
        <v>0.0</v>
      </c>
      <c r="F20" s="24">
        <f>'Beneficio en inyección'!D13</f>
        <v>148450.918</v>
      </c>
      <c r="G20" s="24">
        <f>'Beneficio en inyección'!D13</f>
        <v>148450.918</v>
      </c>
      <c r="H20" s="24">
        <f>'Beneficio en inyección'!D13</f>
        <v>148450.918</v>
      </c>
      <c r="I20" s="24">
        <f>'Beneficio en inyección'!D13</f>
        <v>148450.918</v>
      </c>
      <c r="J20" s="45">
        <f>'Beneficio en inyección'!D13</f>
        <v>148450.918</v>
      </c>
      <c r="K20" s="24">
        <f>'Beneficio en inyección'!D13</f>
        <v>148450.918</v>
      </c>
      <c r="L20" s="46">
        <f>'Beneficio en inyección'!D13</f>
        <v>148450.918</v>
      </c>
      <c r="M20" s="47">
        <f t="shared" si="3"/>
        <v>1039156.426</v>
      </c>
      <c r="N20" s="6"/>
      <c r="O20" s="6"/>
      <c r="P20" s="6"/>
      <c r="Q20" s="6"/>
      <c r="R20" s="6"/>
      <c r="S20" s="6"/>
    </row>
    <row r="21">
      <c r="A21" s="36"/>
      <c r="B21" s="41" t="s">
        <v>10</v>
      </c>
      <c r="C21" s="41">
        <v>0.0</v>
      </c>
      <c r="D21" s="41">
        <v>0.0</v>
      </c>
      <c r="E21" s="41">
        <v>0.0</v>
      </c>
      <c r="F21" s="21">
        <f>'Venta de plástico'!F32</f>
        <v>192575.336</v>
      </c>
      <c r="G21" s="21">
        <f>'Venta de plástico'!F32</f>
        <v>192575.336</v>
      </c>
      <c r="H21" s="21">
        <f>'Venta de plástico'!F32</f>
        <v>192575.336</v>
      </c>
      <c r="I21" s="21">
        <f>'Venta de plástico'!F32</f>
        <v>192575.336</v>
      </c>
      <c r="J21" s="21">
        <f>'Venta de plástico'!F32</f>
        <v>192575.336</v>
      </c>
      <c r="K21" s="21">
        <f>'Venta de plástico'!F32</f>
        <v>192575.336</v>
      </c>
      <c r="L21" s="48">
        <f>'Venta de plástico'!F32</f>
        <v>192575.336</v>
      </c>
      <c r="M21" s="43">
        <f t="shared" si="3"/>
        <v>1348027.352</v>
      </c>
      <c r="N21" s="6"/>
      <c r="O21" s="6"/>
      <c r="P21" s="6"/>
      <c r="Q21" s="6"/>
      <c r="R21" s="6"/>
      <c r="S21" s="6"/>
    </row>
    <row r="22">
      <c r="A22" s="36"/>
      <c r="B22" s="41" t="s">
        <v>11</v>
      </c>
      <c r="C22" s="41">
        <v>0.0</v>
      </c>
      <c r="D22" s="41">
        <v>0.0</v>
      </c>
      <c r="E22" s="41">
        <v>0.0</v>
      </c>
      <c r="F22" s="21">
        <f>-Mantenimiento!$C$33</f>
        <v>-3896.52</v>
      </c>
      <c r="G22" s="21">
        <f>-Mantenimiento!$C$33</f>
        <v>-3896.52</v>
      </c>
      <c r="H22" s="21">
        <f>-Mantenimiento!$C$33</f>
        <v>-3896.52</v>
      </c>
      <c r="I22" s="21">
        <f>-Mantenimiento!$C$33</f>
        <v>-3896.52</v>
      </c>
      <c r="J22" s="21">
        <f>-Mantenimiento!$C$33</f>
        <v>-3896.52</v>
      </c>
      <c r="K22" s="21">
        <f>-Mantenimiento!$C$33</f>
        <v>-3896.52</v>
      </c>
      <c r="L22" s="48">
        <f>-Mantenimiento!C35</f>
        <v>-109837.8967</v>
      </c>
      <c r="M22" s="43">
        <f t="shared" si="3"/>
        <v>-133217.0167</v>
      </c>
      <c r="N22" s="6"/>
      <c r="O22" s="6"/>
      <c r="P22" s="6"/>
      <c r="Q22" s="6"/>
      <c r="R22" s="6"/>
      <c r="S22" s="6"/>
    </row>
    <row r="23">
      <c r="A23" s="36"/>
      <c r="B23" s="49" t="s">
        <v>13</v>
      </c>
      <c r="C23" s="41">
        <v>0.0</v>
      </c>
      <c r="D23" s="41">
        <v>0.0</v>
      </c>
      <c r="E23" s="41">
        <v>0.0</v>
      </c>
      <c r="F23" s="28">
        <f>-'Aumento del consumo eléctrico'!$K$24</f>
        <v>-5114.289249</v>
      </c>
      <c r="G23" s="28">
        <f>-'Aumento del consumo eléctrico'!$K$24</f>
        <v>-5114.289249</v>
      </c>
      <c r="H23" s="28">
        <f>-'Aumento del consumo eléctrico'!$K$24</f>
        <v>-5114.289249</v>
      </c>
      <c r="I23" s="28">
        <f>-'Aumento del consumo eléctrico'!$K$24</f>
        <v>-5114.289249</v>
      </c>
      <c r="J23" s="28">
        <f>-'Aumento del consumo eléctrico'!$K$24</f>
        <v>-5114.289249</v>
      </c>
      <c r="K23" s="28">
        <f>-'Aumento del consumo eléctrico'!$K$24</f>
        <v>-5114.289249</v>
      </c>
      <c r="L23" s="50">
        <f>-'Aumento del consumo eléctrico'!$K$24</f>
        <v>-5114.289249</v>
      </c>
      <c r="M23" s="43">
        <f t="shared" si="3"/>
        <v>-35800.02474</v>
      </c>
      <c r="N23" s="6"/>
      <c r="O23" s="6"/>
      <c r="P23" s="6"/>
      <c r="Q23" s="6"/>
      <c r="R23" s="6"/>
      <c r="S23" s="6"/>
    </row>
    <row r="24">
      <c r="A24" s="36"/>
      <c r="B24" s="41" t="s">
        <v>15</v>
      </c>
      <c r="C24" s="41">
        <v>0.0</v>
      </c>
      <c r="D24" s="41">
        <v>0.0</v>
      </c>
      <c r="E24" s="41">
        <v>0.0</v>
      </c>
      <c r="F24" s="21">
        <f>'Mano de obra'!$G$11/10</f>
        <v>-56795.68</v>
      </c>
      <c r="G24" s="21">
        <f>'Mano de obra'!$G$11/10</f>
        <v>-56795.68</v>
      </c>
      <c r="H24" s="21">
        <f>'Mano de obra'!$G$11/10</f>
        <v>-56795.68</v>
      </c>
      <c r="I24" s="21">
        <f>'Mano de obra'!$G$11/10</f>
        <v>-56795.68</v>
      </c>
      <c r="J24" s="21">
        <f>'Mano de obra'!$G$11/10</f>
        <v>-56795.68</v>
      </c>
      <c r="K24" s="21">
        <f>'Mano de obra'!$G$11/10</f>
        <v>-56795.68</v>
      </c>
      <c r="L24" s="48">
        <f>'Mano de obra'!$G$11/10</f>
        <v>-56795.68</v>
      </c>
      <c r="M24" s="43">
        <f t="shared" si="3"/>
        <v>-397569.76</v>
      </c>
      <c r="N24" s="6"/>
      <c r="O24" s="6"/>
      <c r="P24" s="6"/>
      <c r="Q24" s="6"/>
      <c r="R24" s="6"/>
      <c r="S24" s="6"/>
    </row>
    <row r="25">
      <c r="A25" s="68"/>
      <c r="B25" s="2" t="s">
        <v>16</v>
      </c>
      <c r="C25" s="51">
        <f t="shared" ref="C25:L25" si="4">SUM(C18:C24)</f>
        <v>-1708943.857</v>
      </c>
      <c r="D25" s="52">
        <f t="shared" si="4"/>
        <v>-796857.2467</v>
      </c>
      <c r="E25" s="52">
        <f t="shared" si="4"/>
        <v>-974944.8867</v>
      </c>
      <c r="F25" s="51">
        <f t="shared" si="4"/>
        <v>275219.7648</v>
      </c>
      <c r="G25" s="51">
        <f t="shared" si="4"/>
        <v>275219.7648</v>
      </c>
      <c r="H25" s="51">
        <f t="shared" si="4"/>
        <v>275219.7648</v>
      </c>
      <c r="I25" s="51">
        <f t="shared" si="4"/>
        <v>514675.7648</v>
      </c>
      <c r="J25" s="51">
        <f t="shared" si="4"/>
        <v>275219.7648</v>
      </c>
      <c r="K25" s="51">
        <f t="shared" si="4"/>
        <v>275219.7648</v>
      </c>
      <c r="L25" s="53">
        <f t="shared" si="4"/>
        <v>169278.3881</v>
      </c>
      <c r="M25" s="43">
        <f>SUM(F25:L25)</f>
        <v>2060052.977</v>
      </c>
      <c r="N25" s="6"/>
      <c r="O25" s="6"/>
      <c r="P25" s="6"/>
      <c r="Q25" s="6"/>
      <c r="R25" s="6"/>
      <c r="S25" s="6"/>
    </row>
    <row r="26">
      <c r="A26" s="68"/>
      <c r="B26" s="54" t="s">
        <v>17</v>
      </c>
      <c r="C26" s="55">
        <f>C25</f>
        <v>-1708943.857</v>
      </c>
      <c r="D26" s="55">
        <f t="array" ref="D26">NPV(L10,D25)+C26</f>
        <v>-2480432.989</v>
      </c>
      <c r="E26" s="55">
        <f t="shared" ref="E26:L26" si="5">NPV($L$10,$D$25:E25)+$C$26</f>
        <v>-3394290.82</v>
      </c>
      <c r="F26" s="55">
        <f t="shared" si="5"/>
        <v>-3144528.18</v>
      </c>
      <c r="G26" s="55">
        <f t="shared" si="5"/>
        <v>-2902716.784</v>
      </c>
      <c r="H26" s="55">
        <f t="shared" si="5"/>
        <v>-2668603.504</v>
      </c>
      <c r="I26" s="55">
        <f t="shared" si="5"/>
        <v>-2244736.671</v>
      </c>
      <c r="J26" s="55">
        <f t="shared" si="5"/>
        <v>-2025292.211</v>
      </c>
      <c r="K26" s="55">
        <f t="shared" si="5"/>
        <v>-1812833.81</v>
      </c>
      <c r="L26" s="55">
        <f t="shared" si="5"/>
        <v>-1686317.916</v>
      </c>
      <c r="M26" s="55">
        <f>L26</f>
        <v>-1686317.916</v>
      </c>
      <c r="N26" s="6"/>
      <c r="O26" s="6"/>
      <c r="P26" s="6"/>
      <c r="Q26" s="6"/>
      <c r="R26" s="6"/>
      <c r="S26" s="6"/>
    </row>
    <row r="27">
      <c r="A27" s="6"/>
      <c r="B27" s="56"/>
      <c r="C27" s="56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6"/>
      <c r="O27" s="6"/>
      <c r="P27" s="6"/>
      <c r="Q27" s="6"/>
      <c r="R27" s="6"/>
      <c r="S27" s="6"/>
    </row>
    <row r="28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>
      <c r="A29" s="98"/>
      <c r="B29" s="37" t="s">
        <v>21</v>
      </c>
      <c r="C29" s="38" t="s">
        <v>19</v>
      </c>
      <c r="D29" s="39"/>
      <c r="E29" s="39"/>
      <c r="F29" s="39"/>
      <c r="G29" s="39"/>
      <c r="H29" s="39"/>
      <c r="I29" s="39"/>
      <c r="J29" s="39"/>
      <c r="K29" s="39"/>
      <c r="L29" s="8"/>
      <c r="M29" s="37" t="s">
        <v>20</v>
      </c>
      <c r="N29" s="6"/>
      <c r="O29" s="6"/>
      <c r="P29" s="6"/>
      <c r="Q29" s="6"/>
      <c r="R29" s="6"/>
      <c r="S29" s="6"/>
    </row>
    <row r="30">
      <c r="A30" s="98"/>
      <c r="B30" s="40"/>
      <c r="C30" s="2">
        <v>1.0</v>
      </c>
      <c r="D30" s="2">
        <v>2.0</v>
      </c>
      <c r="E30" s="2">
        <v>3.0</v>
      </c>
      <c r="F30" s="2">
        <v>4.0</v>
      </c>
      <c r="G30" s="2">
        <v>5.0</v>
      </c>
      <c r="H30" s="2">
        <v>6.0</v>
      </c>
      <c r="I30" s="2">
        <v>7.0</v>
      </c>
      <c r="J30" s="2">
        <v>8.0</v>
      </c>
      <c r="K30" s="2">
        <v>9.0</v>
      </c>
      <c r="L30" s="2">
        <v>10.0</v>
      </c>
      <c r="M30" s="40"/>
    </row>
    <row r="31">
      <c r="A31" s="36"/>
      <c r="B31" s="41" t="s">
        <v>5</v>
      </c>
      <c r="C31" s="41"/>
      <c r="D31" s="20"/>
      <c r="E31" s="20"/>
      <c r="F31" s="20"/>
      <c r="G31" s="20"/>
      <c r="H31" s="20"/>
      <c r="I31" s="20"/>
      <c r="J31" s="20"/>
      <c r="K31" s="20"/>
      <c r="L31" s="20"/>
      <c r="M31" s="43">
        <f t="shared" ref="M31:M37" si="6">SUM(C31:L31)</f>
        <v>0</v>
      </c>
    </row>
    <row r="32">
      <c r="A32" s="36"/>
      <c r="B32" s="41" t="s">
        <v>7</v>
      </c>
      <c r="C32" s="20"/>
      <c r="D32" s="20"/>
      <c r="E32" s="20"/>
      <c r="F32" s="20"/>
      <c r="G32" s="21">
        <f>Accidentes!F8</f>
        <v>239456</v>
      </c>
      <c r="H32" s="20"/>
      <c r="I32" s="20"/>
      <c r="J32" s="21"/>
      <c r="K32" s="20"/>
      <c r="L32" s="20"/>
      <c r="M32" s="43">
        <f t="shared" si="6"/>
        <v>239456</v>
      </c>
    </row>
    <row r="33">
      <c r="A33" s="36"/>
      <c r="B33" s="41" t="s">
        <v>9</v>
      </c>
      <c r="C33" s="21">
        <f>'Beneficio en inyección'!$D$13</f>
        <v>148450.918</v>
      </c>
      <c r="D33" s="21">
        <f>'Beneficio en inyección'!$D$13</f>
        <v>148450.918</v>
      </c>
      <c r="E33" s="21">
        <f>'Beneficio en inyección'!$D$13</f>
        <v>148450.918</v>
      </c>
      <c r="F33" s="21">
        <f>'Beneficio en inyección'!$D$13</f>
        <v>148450.918</v>
      </c>
      <c r="G33" s="21">
        <f>'Beneficio en inyección'!$D$13</f>
        <v>148450.918</v>
      </c>
      <c r="H33" s="21">
        <f>'Beneficio en inyección'!$D$13</f>
        <v>148450.918</v>
      </c>
      <c r="I33" s="21">
        <f>'Beneficio en inyección'!$D$13</f>
        <v>148450.918</v>
      </c>
      <c r="J33" s="21">
        <f>'Beneficio en inyección'!$D$13</f>
        <v>148450.918</v>
      </c>
      <c r="K33" s="21">
        <f>'Beneficio en inyección'!$D$13</f>
        <v>148450.918</v>
      </c>
      <c r="L33" s="21">
        <f>'Beneficio en inyección'!$D$13</f>
        <v>148450.918</v>
      </c>
      <c r="M33" s="43">
        <f t="shared" si="6"/>
        <v>1484509.18</v>
      </c>
    </row>
    <row r="34">
      <c r="A34" s="36"/>
      <c r="B34" s="41" t="s">
        <v>10</v>
      </c>
      <c r="C34" s="21">
        <f>'Venta de plástico'!$F$32</f>
        <v>192575.336</v>
      </c>
      <c r="D34" s="21">
        <f>'Venta de plástico'!$F$32</f>
        <v>192575.336</v>
      </c>
      <c r="E34" s="21">
        <f>'Venta de plástico'!$F$32</f>
        <v>192575.336</v>
      </c>
      <c r="F34" s="21">
        <f>'Venta de plástico'!$F$32</f>
        <v>192575.336</v>
      </c>
      <c r="G34" s="21">
        <f>'Venta de plástico'!$F$32</f>
        <v>192575.336</v>
      </c>
      <c r="H34" s="21">
        <f>'Venta de plástico'!$F$32</f>
        <v>192575.336</v>
      </c>
      <c r="I34" s="21">
        <f>'Venta de plástico'!$F$32</f>
        <v>192575.336</v>
      </c>
      <c r="J34" s="21">
        <f>'Venta de plástico'!$F$32</f>
        <v>192575.336</v>
      </c>
      <c r="K34" s="21">
        <f>'Venta de plástico'!$F$32</f>
        <v>192575.336</v>
      </c>
      <c r="L34" s="21">
        <f>'Venta de plástico'!$F$32</f>
        <v>192575.336</v>
      </c>
      <c r="M34" s="43">
        <f t="shared" si="6"/>
        <v>1925753.36</v>
      </c>
    </row>
    <row r="35">
      <c r="A35" s="36"/>
      <c r="B35" s="41" t="s">
        <v>11</v>
      </c>
      <c r="C35" s="21">
        <f>-Mantenimiento!$C$33</f>
        <v>-3896.52</v>
      </c>
      <c r="D35" s="21">
        <f>-Mantenimiento!$C$33</f>
        <v>-3896.52</v>
      </c>
      <c r="E35" s="21">
        <f>-Mantenimiento!$C$33</f>
        <v>-3896.52</v>
      </c>
      <c r="F35" s="21">
        <f>-Mantenimiento!$C$33</f>
        <v>-3896.52</v>
      </c>
      <c r="G35" s="21">
        <f>-Mantenimiento!$C$33</f>
        <v>-3896.52</v>
      </c>
      <c r="H35" s="21">
        <f>-Mantenimiento!$C$33</f>
        <v>-3896.52</v>
      </c>
      <c r="I35" s="21">
        <f>-Mantenimiento!$C$33</f>
        <v>-3896.52</v>
      </c>
      <c r="J35" s="21">
        <f>-Mantenimiento!$C$33</f>
        <v>-3896.52</v>
      </c>
      <c r="K35" s="21">
        <f>-Mantenimiento!$C$33</f>
        <v>-3896.52</v>
      </c>
      <c r="L35" s="21">
        <f>-Mantenimiento!C35</f>
        <v>-109837.8967</v>
      </c>
      <c r="M35" s="43">
        <f t="shared" si="6"/>
        <v>-144906.5767</v>
      </c>
    </row>
    <row r="36">
      <c r="A36" s="36"/>
      <c r="B36" s="41" t="s">
        <v>13</v>
      </c>
      <c r="C36" s="21">
        <f>-'Aumento del consumo eléctrico'!$K$24</f>
        <v>-5114.289249</v>
      </c>
      <c r="D36" s="21">
        <f>-'Aumento del consumo eléctrico'!$K$24</f>
        <v>-5114.289249</v>
      </c>
      <c r="E36" s="21">
        <f>-'Aumento del consumo eléctrico'!$K$24</f>
        <v>-5114.289249</v>
      </c>
      <c r="F36" s="21">
        <f>-'Aumento del consumo eléctrico'!$K$24</f>
        <v>-5114.289249</v>
      </c>
      <c r="G36" s="21">
        <f>-'Aumento del consumo eléctrico'!$K$24</f>
        <v>-5114.289249</v>
      </c>
      <c r="H36" s="21">
        <f>-'Aumento del consumo eléctrico'!$K$24</f>
        <v>-5114.289249</v>
      </c>
      <c r="I36" s="21">
        <f>-'Aumento del consumo eléctrico'!$K$24</f>
        <v>-5114.289249</v>
      </c>
      <c r="J36" s="21">
        <f>-'Aumento del consumo eléctrico'!$K$24</f>
        <v>-5114.289249</v>
      </c>
      <c r="K36" s="21">
        <f>-'Aumento del consumo eléctrico'!$K$24</f>
        <v>-5114.289249</v>
      </c>
      <c r="L36" s="21">
        <f>-'Aumento del consumo eléctrico'!$K$24</f>
        <v>-5114.289249</v>
      </c>
      <c r="M36" s="43">
        <f t="shared" si="6"/>
        <v>-51142.89249</v>
      </c>
    </row>
    <row r="37">
      <c r="A37" s="36"/>
      <c r="B37" s="41" t="s">
        <v>15</v>
      </c>
      <c r="C37" s="21">
        <f>'Mano de obra'!$G$11/10</f>
        <v>-56795.68</v>
      </c>
      <c r="D37" s="21">
        <f>'Mano de obra'!$G$11/10</f>
        <v>-56795.68</v>
      </c>
      <c r="E37" s="21">
        <f>'Mano de obra'!$G$11/10</f>
        <v>-56795.68</v>
      </c>
      <c r="F37" s="21">
        <f>'Mano de obra'!$G$11/10</f>
        <v>-56795.68</v>
      </c>
      <c r="G37" s="21">
        <f>'Mano de obra'!$G$11/10</f>
        <v>-56795.68</v>
      </c>
      <c r="H37" s="21">
        <f>'Mano de obra'!$G$11/10</f>
        <v>-56795.68</v>
      </c>
      <c r="I37" s="21">
        <f>'Mano de obra'!$G$11/10</f>
        <v>-56795.68</v>
      </c>
      <c r="J37" s="21">
        <f>'Mano de obra'!$G$11/10</f>
        <v>-56795.68</v>
      </c>
      <c r="K37" s="21">
        <f>'Mano de obra'!$G$11/10</f>
        <v>-56795.68</v>
      </c>
      <c r="L37" s="21">
        <f>'Mano de obra'!$G$11/10</f>
        <v>-56795.68</v>
      </c>
      <c r="M37" s="43">
        <f t="shared" si="6"/>
        <v>-567956.8</v>
      </c>
    </row>
    <row r="38">
      <c r="A38" s="68"/>
      <c r="B38" s="2" t="s">
        <v>16</v>
      </c>
      <c r="C38" s="51">
        <f t="shared" ref="C38:M38" si="7">SUM(C31:C37)</f>
        <v>275219.7648</v>
      </c>
      <c r="D38" s="51">
        <f t="shared" si="7"/>
        <v>275219.7648</v>
      </c>
      <c r="E38" s="51">
        <f t="shared" si="7"/>
        <v>275219.7648</v>
      </c>
      <c r="F38" s="51">
        <f t="shared" si="7"/>
        <v>275219.7648</v>
      </c>
      <c r="G38" s="51">
        <f t="shared" si="7"/>
        <v>514675.7648</v>
      </c>
      <c r="H38" s="51">
        <f t="shared" si="7"/>
        <v>275219.7648</v>
      </c>
      <c r="I38" s="51">
        <f t="shared" si="7"/>
        <v>275219.7648</v>
      </c>
      <c r="J38" s="51">
        <f t="shared" si="7"/>
        <v>275219.7648</v>
      </c>
      <c r="K38" s="51">
        <f t="shared" si="7"/>
        <v>275219.7648</v>
      </c>
      <c r="L38" s="51">
        <f t="shared" si="7"/>
        <v>169278.3881</v>
      </c>
      <c r="M38" s="58">
        <f t="shared" si="7"/>
        <v>2885712.271</v>
      </c>
    </row>
    <row r="39">
      <c r="A39" s="68"/>
      <c r="B39" s="2" t="s">
        <v>17</v>
      </c>
      <c r="C39" s="59">
        <f t="array" ref="C39">NPV(L10,D25:L25,C38)+C25</f>
        <v>-1487171.507</v>
      </c>
      <c r="D39" s="59">
        <f t="shared" ref="D39:L39" si="8">NPV($L$10,$D$25:$L$25,$C$38:D38)+$C$25</f>
        <v>-1294364.964</v>
      </c>
      <c r="E39" s="59">
        <f t="shared" si="8"/>
        <v>-1107696.458</v>
      </c>
      <c r="F39" s="59">
        <f t="shared" si="8"/>
        <v>-926970.5823</v>
      </c>
      <c r="G39" s="59">
        <f t="shared" si="8"/>
        <v>-599762.7254</v>
      </c>
      <c r="H39" s="59">
        <f t="shared" si="8"/>
        <v>-430360.5784</v>
      </c>
      <c r="I39" s="59">
        <f t="shared" si="8"/>
        <v>-266351.3836</v>
      </c>
      <c r="J39" s="59">
        <f t="shared" si="8"/>
        <v>-107563.4553</v>
      </c>
      <c r="K39" s="59">
        <f t="shared" si="8"/>
        <v>46169.42653</v>
      </c>
      <c r="L39" s="59">
        <f t="shared" si="8"/>
        <v>137715.1266</v>
      </c>
      <c r="M39" s="43">
        <f>L39</f>
        <v>137715.1266</v>
      </c>
    </row>
    <row r="42">
      <c r="A42" s="98"/>
      <c r="B42" s="37" t="s">
        <v>22</v>
      </c>
      <c r="C42" s="38" t="s">
        <v>19</v>
      </c>
      <c r="D42" s="39"/>
      <c r="E42" s="39"/>
      <c r="F42" s="39"/>
      <c r="G42" s="39"/>
      <c r="H42" s="39"/>
      <c r="I42" s="39"/>
      <c r="J42" s="39"/>
      <c r="K42" s="39"/>
      <c r="L42" s="8"/>
      <c r="M42" s="37" t="s">
        <v>20</v>
      </c>
    </row>
    <row r="43">
      <c r="A43" s="98"/>
      <c r="B43" s="40"/>
      <c r="C43" s="2">
        <v>1.0</v>
      </c>
      <c r="D43" s="2">
        <v>2.0</v>
      </c>
      <c r="E43" s="2">
        <v>3.0</v>
      </c>
      <c r="F43" s="2">
        <v>4.0</v>
      </c>
      <c r="G43" s="2">
        <v>5.0</v>
      </c>
      <c r="H43" s="2">
        <v>6.0</v>
      </c>
      <c r="I43" s="2">
        <v>7.0</v>
      </c>
      <c r="J43" s="2">
        <v>8.0</v>
      </c>
      <c r="K43" s="2">
        <v>9.0</v>
      </c>
      <c r="L43" s="2">
        <v>10.0</v>
      </c>
      <c r="M43" s="40"/>
    </row>
    <row r="44">
      <c r="A44" s="36"/>
      <c r="B44" s="41" t="s">
        <v>5</v>
      </c>
      <c r="C44" s="41"/>
      <c r="D44" s="20"/>
      <c r="E44" s="20"/>
      <c r="F44" s="20"/>
      <c r="G44" s="20"/>
      <c r="H44" s="41"/>
      <c r="I44" s="20"/>
      <c r="J44" s="20"/>
      <c r="K44" s="20"/>
      <c r="L44" s="20"/>
      <c r="M44" s="43">
        <f t="shared" ref="M44:M50" si="9">SUM(C44:L44)</f>
        <v>0</v>
      </c>
    </row>
    <row r="45">
      <c r="A45" s="36"/>
      <c r="B45" s="41" t="s">
        <v>7</v>
      </c>
      <c r="C45" s="20"/>
      <c r="D45" s="20"/>
      <c r="E45" s="20"/>
      <c r="F45" s="20"/>
      <c r="G45" s="21">
        <f>Accidentes!$F$9/2</f>
        <v>419048</v>
      </c>
      <c r="H45" s="21">
        <f>Accidentes!$F$9/2</f>
        <v>419048</v>
      </c>
      <c r="I45" s="20"/>
      <c r="J45" s="21"/>
      <c r="K45" s="20"/>
      <c r="L45" s="20"/>
      <c r="M45" s="43">
        <f t="shared" si="9"/>
        <v>838096</v>
      </c>
    </row>
    <row r="46">
      <c r="A46" s="36"/>
      <c r="B46" s="41" t="s">
        <v>9</v>
      </c>
      <c r="C46" s="21">
        <f>'Beneficio en inyección'!$D$13</f>
        <v>148450.918</v>
      </c>
      <c r="D46" s="21">
        <f>'Beneficio en inyección'!$D$13</f>
        <v>148450.918</v>
      </c>
      <c r="E46" s="21">
        <f>'Beneficio en inyección'!$D$13</f>
        <v>148450.918</v>
      </c>
      <c r="F46" s="21">
        <f>'Beneficio en inyección'!$D$13</f>
        <v>148450.918</v>
      </c>
      <c r="G46" s="21">
        <f>'Beneficio en inyección'!$D$13</f>
        <v>148450.918</v>
      </c>
      <c r="H46" s="21">
        <f>'Beneficio en inyección'!$D$13</f>
        <v>148450.918</v>
      </c>
      <c r="I46" s="21">
        <f>'Beneficio en inyección'!$D$13</f>
        <v>148450.918</v>
      </c>
      <c r="J46" s="21">
        <f>'Beneficio en inyección'!$D$13</f>
        <v>148450.918</v>
      </c>
      <c r="K46" s="21">
        <f>'Beneficio en inyección'!$D$13</f>
        <v>148450.918</v>
      </c>
      <c r="L46" s="21">
        <f>'Beneficio en inyección'!$D$13</f>
        <v>148450.918</v>
      </c>
      <c r="M46" s="43">
        <f t="shared" si="9"/>
        <v>1484509.18</v>
      </c>
    </row>
    <row r="47">
      <c r="A47" s="36"/>
      <c r="B47" s="41" t="s">
        <v>10</v>
      </c>
      <c r="C47" s="21">
        <f>'Venta de plástico'!$F$32</f>
        <v>192575.336</v>
      </c>
      <c r="D47" s="21">
        <f>'Venta de plástico'!$F$32</f>
        <v>192575.336</v>
      </c>
      <c r="E47" s="21">
        <f>'Venta de plástico'!$F$32</f>
        <v>192575.336</v>
      </c>
      <c r="F47" s="21">
        <f>'Venta de plástico'!$F$32</f>
        <v>192575.336</v>
      </c>
      <c r="G47" s="21">
        <f>'Venta de plástico'!$F$32</f>
        <v>192575.336</v>
      </c>
      <c r="H47" s="21">
        <f>'Venta de plástico'!$F$32</f>
        <v>192575.336</v>
      </c>
      <c r="I47" s="21">
        <f>'Venta de plástico'!$F$32</f>
        <v>192575.336</v>
      </c>
      <c r="J47" s="21">
        <f>'Venta de plástico'!$F$32</f>
        <v>192575.336</v>
      </c>
      <c r="K47" s="21">
        <f>'Venta de plástico'!$F$32</f>
        <v>192575.336</v>
      </c>
      <c r="L47" s="21">
        <f>'Venta de plástico'!$F$32</f>
        <v>192575.336</v>
      </c>
      <c r="M47" s="43">
        <f t="shared" si="9"/>
        <v>1925753.36</v>
      </c>
    </row>
    <row r="48">
      <c r="A48" s="36"/>
      <c r="B48" s="41" t="s">
        <v>11</v>
      </c>
      <c r="C48" s="21">
        <f>-Mantenimiento!$C$33</f>
        <v>-3896.52</v>
      </c>
      <c r="D48" s="21">
        <f>-Mantenimiento!$C$33</f>
        <v>-3896.52</v>
      </c>
      <c r="E48" s="21">
        <f>-Mantenimiento!$C$33</f>
        <v>-3896.52</v>
      </c>
      <c r="F48" s="21">
        <f>-Mantenimiento!$C$33</f>
        <v>-3896.52</v>
      </c>
      <c r="G48" s="21">
        <f>-Mantenimiento!$C$33</f>
        <v>-3896.52</v>
      </c>
      <c r="H48" s="21">
        <f>-Mantenimiento!$C$33</f>
        <v>-3896.52</v>
      </c>
      <c r="I48" s="21">
        <f>-Mantenimiento!$C$33</f>
        <v>-3896.52</v>
      </c>
      <c r="J48" s="21">
        <f>-Mantenimiento!$C$33</f>
        <v>-3896.52</v>
      </c>
      <c r="K48" s="21">
        <f>-Mantenimiento!$C$33</f>
        <v>-3896.52</v>
      </c>
      <c r="L48" s="21">
        <f>-Mantenimiento!$C$35</f>
        <v>-109837.8967</v>
      </c>
      <c r="M48" s="43">
        <f t="shared" si="9"/>
        <v>-144906.5767</v>
      </c>
    </row>
    <row r="49">
      <c r="A49" s="36"/>
      <c r="B49" s="41" t="s">
        <v>13</v>
      </c>
      <c r="C49" s="21">
        <f>-'Aumento del consumo eléctrico'!$K$24</f>
        <v>-5114.289249</v>
      </c>
      <c r="D49" s="21">
        <f>-'Aumento del consumo eléctrico'!$K$24</f>
        <v>-5114.289249</v>
      </c>
      <c r="E49" s="21">
        <f>-'Aumento del consumo eléctrico'!$K$24</f>
        <v>-5114.289249</v>
      </c>
      <c r="F49" s="21">
        <f>-'Aumento del consumo eléctrico'!$K$24</f>
        <v>-5114.289249</v>
      </c>
      <c r="G49" s="21">
        <f>-'Aumento del consumo eléctrico'!$K$24</f>
        <v>-5114.289249</v>
      </c>
      <c r="H49" s="21">
        <f>-'Aumento del consumo eléctrico'!$K$24</f>
        <v>-5114.289249</v>
      </c>
      <c r="I49" s="21">
        <f>-'Aumento del consumo eléctrico'!$K$24</f>
        <v>-5114.289249</v>
      </c>
      <c r="J49" s="21">
        <f>-'Aumento del consumo eléctrico'!$K$24</f>
        <v>-5114.289249</v>
      </c>
      <c r="K49" s="21">
        <f>-'Aumento del consumo eléctrico'!$K$24</f>
        <v>-5114.289249</v>
      </c>
      <c r="L49" s="21">
        <f>-'Aumento del consumo eléctrico'!$K$24</f>
        <v>-5114.289249</v>
      </c>
      <c r="M49" s="43">
        <f t="shared" si="9"/>
        <v>-51142.89249</v>
      </c>
    </row>
    <row r="50">
      <c r="A50" s="36"/>
      <c r="B50" s="41" t="s">
        <v>15</v>
      </c>
      <c r="C50" s="21">
        <f>'Mano de obra'!$G$11/10</f>
        <v>-56795.68</v>
      </c>
      <c r="D50" s="21">
        <f>'Mano de obra'!$G$11/10</f>
        <v>-56795.68</v>
      </c>
      <c r="E50" s="21">
        <f>'Mano de obra'!$G$11/10</f>
        <v>-56795.68</v>
      </c>
      <c r="F50" s="21">
        <f>'Mano de obra'!$G$11/10</f>
        <v>-56795.68</v>
      </c>
      <c r="G50" s="21">
        <f>'Mano de obra'!$G$11/10</f>
        <v>-56795.68</v>
      </c>
      <c r="H50" s="21">
        <f>'Mano de obra'!$G$11/10</f>
        <v>-56795.68</v>
      </c>
      <c r="I50" s="21">
        <f>'Mano de obra'!$G$11/10</f>
        <v>-56795.68</v>
      </c>
      <c r="J50" s="21">
        <f>'Mano de obra'!$G$11/10</f>
        <v>-56795.68</v>
      </c>
      <c r="K50" s="21">
        <f>'Mano de obra'!$G$11/10</f>
        <v>-56795.68</v>
      </c>
      <c r="L50" s="21">
        <f>'Mano de obra'!$G$11/10</f>
        <v>-56795.68</v>
      </c>
      <c r="M50" s="43">
        <f t="shared" si="9"/>
        <v>-567956.8</v>
      </c>
    </row>
    <row r="51">
      <c r="A51" s="68"/>
      <c r="B51" s="2" t="s">
        <v>16</v>
      </c>
      <c r="C51" s="51">
        <f t="shared" ref="C51:M51" si="10">SUM(C44:C50)</f>
        <v>275219.7648</v>
      </c>
      <c r="D51" s="51">
        <f t="shared" si="10"/>
        <v>275219.7648</v>
      </c>
      <c r="E51" s="51">
        <f t="shared" si="10"/>
        <v>275219.7648</v>
      </c>
      <c r="F51" s="51">
        <f t="shared" si="10"/>
        <v>275219.7648</v>
      </c>
      <c r="G51" s="51">
        <f t="shared" si="10"/>
        <v>694267.7648</v>
      </c>
      <c r="H51" s="51">
        <f t="shared" si="10"/>
        <v>694267.7648</v>
      </c>
      <c r="I51" s="51">
        <f t="shared" si="10"/>
        <v>275219.7648</v>
      </c>
      <c r="J51" s="51">
        <f t="shared" si="10"/>
        <v>275219.7648</v>
      </c>
      <c r="K51" s="51">
        <f t="shared" si="10"/>
        <v>275219.7648</v>
      </c>
      <c r="L51" s="51">
        <f t="shared" si="10"/>
        <v>169278.3881</v>
      </c>
      <c r="M51" s="58">
        <f t="shared" si="10"/>
        <v>3484352.271</v>
      </c>
    </row>
    <row r="52">
      <c r="A52" s="68"/>
      <c r="B52" s="2" t="s">
        <v>17</v>
      </c>
      <c r="C52" s="59">
        <f t="array" ref="C52">NPV($L$10,$D$25:$L$25,$C$38:$L$38,C51)+$C$25</f>
        <v>281815.5778</v>
      </c>
      <c r="D52" s="59">
        <f t="shared" ref="D52:L52" si="11">NPV($L$10,$D$25:$L$25,$C$38:$L$38,$C$51:D51)+$C$25</f>
        <v>421328.5615</v>
      </c>
      <c r="E52" s="59">
        <f t="shared" si="11"/>
        <v>556400.1205</v>
      </c>
      <c r="F52" s="59">
        <f t="shared" si="11"/>
        <v>687171.6487</v>
      </c>
      <c r="G52" s="59">
        <f t="shared" si="11"/>
        <v>1006553.23</v>
      </c>
      <c r="H52" s="59">
        <f t="shared" si="11"/>
        <v>1315767.233</v>
      </c>
      <c r="I52" s="59">
        <f t="shared" si="11"/>
        <v>1434442.729</v>
      </c>
      <c r="J52" s="59">
        <f t="shared" si="11"/>
        <v>1549340.167</v>
      </c>
      <c r="K52" s="59">
        <f t="shared" si="11"/>
        <v>1660579.821</v>
      </c>
      <c r="L52" s="59">
        <f t="shared" si="11"/>
        <v>1726821.42</v>
      </c>
      <c r="M52" s="43">
        <f>L52</f>
        <v>1726821.42</v>
      </c>
    </row>
    <row r="53">
      <c r="C53" s="60"/>
      <c r="D53" s="60"/>
      <c r="E53" s="60"/>
      <c r="F53" s="60"/>
      <c r="G53" s="60"/>
      <c r="H53" s="60"/>
      <c r="I53" s="60"/>
      <c r="J53" s="60"/>
      <c r="K53" s="60"/>
      <c r="L53" s="60"/>
    </row>
    <row r="55">
      <c r="A55" s="98"/>
      <c r="B55" s="37" t="s">
        <v>23</v>
      </c>
      <c r="C55" s="61" t="s">
        <v>19</v>
      </c>
      <c r="D55" s="62"/>
      <c r="E55" s="62"/>
      <c r="F55" s="62"/>
      <c r="G55" s="62"/>
      <c r="H55" s="62"/>
      <c r="I55" s="62"/>
      <c r="J55" s="62"/>
      <c r="K55" s="62"/>
      <c r="L55" s="63"/>
      <c r="M55" s="64" t="s">
        <v>20</v>
      </c>
    </row>
    <row r="56">
      <c r="A56" s="98"/>
      <c r="B56" s="40"/>
      <c r="C56" s="2">
        <v>1.0</v>
      </c>
      <c r="D56" s="2">
        <v>2.0</v>
      </c>
      <c r="E56" s="2">
        <v>3.0</v>
      </c>
      <c r="F56" s="2">
        <v>4.0</v>
      </c>
      <c r="G56" s="2">
        <v>5.0</v>
      </c>
      <c r="H56" s="2">
        <v>6.0</v>
      </c>
      <c r="I56" s="2">
        <v>7.0</v>
      </c>
      <c r="J56" s="2">
        <v>8.0</v>
      </c>
      <c r="K56" s="2">
        <v>9.0</v>
      </c>
      <c r="L56" s="2">
        <v>10.0</v>
      </c>
      <c r="M56" s="40"/>
    </row>
    <row r="57">
      <c r="A57" s="36"/>
      <c r="B57" s="41" t="s">
        <v>5</v>
      </c>
      <c r="C57" s="41"/>
      <c r="D57" s="20"/>
      <c r="E57" s="20"/>
      <c r="F57" s="20"/>
      <c r="G57" s="20"/>
      <c r="H57" s="41"/>
      <c r="I57" s="20"/>
      <c r="J57" s="20"/>
      <c r="K57" s="20"/>
      <c r="L57" s="20"/>
      <c r="M57" s="43">
        <f t="shared" ref="M57:M63" si="12">SUM(C57:L57)</f>
        <v>0</v>
      </c>
    </row>
    <row r="58">
      <c r="A58" s="36"/>
      <c r="B58" s="41" t="s">
        <v>7</v>
      </c>
      <c r="C58" s="20"/>
      <c r="D58" s="20"/>
      <c r="E58" s="20"/>
      <c r="F58" s="20"/>
      <c r="G58" s="21">
        <f>Accidentes!F8</f>
        <v>239456</v>
      </c>
      <c r="H58" s="21" t="str">
        <f>Accidentes!F22</f>
        <v/>
      </c>
      <c r="I58" s="20"/>
      <c r="J58" s="21"/>
      <c r="K58" s="20"/>
      <c r="L58" s="20"/>
      <c r="M58" s="43">
        <f t="shared" si="12"/>
        <v>239456</v>
      </c>
    </row>
    <row r="59">
      <c r="A59" s="36"/>
      <c r="B59" s="41" t="s">
        <v>9</v>
      </c>
      <c r="C59" s="21">
        <f>'Beneficio en inyección'!$D$13</f>
        <v>148450.918</v>
      </c>
      <c r="D59" s="21">
        <f>'Beneficio en inyección'!$D$13</f>
        <v>148450.918</v>
      </c>
      <c r="E59" s="21">
        <f>'Beneficio en inyección'!$D$13</f>
        <v>148450.918</v>
      </c>
      <c r="F59" s="21">
        <f>'Beneficio en inyección'!$D$13</f>
        <v>148450.918</v>
      </c>
      <c r="G59" s="21">
        <f>'Beneficio en inyección'!$D$13</f>
        <v>148450.918</v>
      </c>
      <c r="H59" s="21">
        <f>'Beneficio en inyección'!$D$13</f>
        <v>148450.918</v>
      </c>
      <c r="I59" s="21">
        <f>'Beneficio en inyección'!$D$13</f>
        <v>148450.918</v>
      </c>
      <c r="J59" s="21">
        <f>'Beneficio en inyección'!$D$13</f>
        <v>148450.918</v>
      </c>
      <c r="K59" s="21">
        <f>'Beneficio en inyección'!$D$13</f>
        <v>148450.918</v>
      </c>
      <c r="L59" s="21">
        <f>'Beneficio en inyección'!$D$13</f>
        <v>148450.918</v>
      </c>
      <c r="M59" s="43">
        <f t="shared" si="12"/>
        <v>1484509.18</v>
      </c>
    </row>
    <row r="60">
      <c r="A60" s="36"/>
      <c r="B60" s="41" t="s">
        <v>10</v>
      </c>
      <c r="C60" s="21">
        <f>'Venta de plástico'!$F$32</f>
        <v>192575.336</v>
      </c>
      <c r="D60" s="21">
        <f>'Venta de plástico'!$F$32</f>
        <v>192575.336</v>
      </c>
      <c r="E60" s="21">
        <f>'Venta de plástico'!$F$32</f>
        <v>192575.336</v>
      </c>
      <c r="F60" s="21">
        <f>'Venta de plástico'!$F$32</f>
        <v>192575.336</v>
      </c>
      <c r="G60" s="21">
        <f>'Venta de plástico'!$F$32</f>
        <v>192575.336</v>
      </c>
      <c r="H60" s="21">
        <f>'Venta de plástico'!$F$32</f>
        <v>192575.336</v>
      </c>
      <c r="I60" s="21">
        <f>'Venta de plástico'!$F$32</f>
        <v>192575.336</v>
      </c>
      <c r="J60" s="21">
        <f>'Venta de plástico'!$F$32</f>
        <v>192575.336</v>
      </c>
      <c r="K60" s="21">
        <f>'Venta de plástico'!$F$32</f>
        <v>192575.336</v>
      </c>
      <c r="L60" s="21">
        <f>'Venta de plástico'!$F$32</f>
        <v>192575.336</v>
      </c>
      <c r="M60" s="43">
        <f t="shared" si="12"/>
        <v>1925753.36</v>
      </c>
    </row>
    <row r="61">
      <c r="A61" s="36"/>
      <c r="B61" s="41" t="s">
        <v>11</v>
      </c>
      <c r="C61" s="21">
        <f>-Mantenimiento!$C$33</f>
        <v>-3896.52</v>
      </c>
      <c r="D61" s="21">
        <f>-Mantenimiento!$C$33</f>
        <v>-3896.52</v>
      </c>
      <c r="E61" s="21">
        <f>-Mantenimiento!$C$33</f>
        <v>-3896.52</v>
      </c>
      <c r="F61" s="21">
        <f>-Mantenimiento!$C$33</f>
        <v>-3896.52</v>
      </c>
      <c r="G61" s="21">
        <f>-Mantenimiento!$C$33</f>
        <v>-3896.52</v>
      </c>
      <c r="H61" s="21">
        <f>-Mantenimiento!$C$33</f>
        <v>-3896.52</v>
      </c>
      <c r="I61" s="21">
        <f>-Mantenimiento!$C$33</f>
        <v>-3896.52</v>
      </c>
      <c r="J61" s="21">
        <f>-Mantenimiento!$C$33</f>
        <v>-3896.52</v>
      </c>
      <c r="K61" s="21">
        <f>-Mantenimiento!$C$33</f>
        <v>-3896.52</v>
      </c>
      <c r="L61" s="21">
        <f>-Mantenimiento!$C$35</f>
        <v>-109837.8967</v>
      </c>
      <c r="M61" s="43">
        <f t="shared" si="12"/>
        <v>-144906.5767</v>
      </c>
    </row>
    <row r="62">
      <c r="A62" s="36"/>
      <c r="B62" s="41" t="s">
        <v>13</v>
      </c>
      <c r="C62" s="21">
        <f>-'Aumento del consumo eléctrico'!$K$24</f>
        <v>-5114.289249</v>
      </c>
      <c r="D62" s="21">
        <f>-'Aumento del consumo eléctrico'!$K$24</f>
        <v>-5114.289249</v>
      </c>
      <c r="E62" s="21">
        <f>-'Aumento del consumo eléctrico'!$K$24</f>
        <v>-5114.289249</v>
      </c>
      <c r="F62" s="21">
        <f>-'Aumento del consumo eléctrico'!$K$24</f>
        <v>-5114.289249</v>
      </c>
      <c r="G62" s="21">
        <f>-'Aumento del consumo eléctrico'!$K$24</f>
        <v>-5114.289249</v>
      </c>
      <c r="H62" s="21">
        <f>-'Aumento del consumo eléctrico'!$K$24</f>
        <v>-5114.289249</v>
      </c>
      <c r="I62" s="21">
        <f>-'Aumento del consumo eléctrico'!$K$24</f>
        <v>-5114.289249</v>
      </c>
      <c r="J62" s="21">
        <f>-'Aumento del consumo eléctrico'!$K$24</f>
        <v>-5114.289249</v>
      </c>
      <c r="K62" s="21">
        <f>-'Aumento del consumo eléctrico'!$K$24</f>
        <v>-5114.289249</v>
      </c>
      <c r="L62" s="21">
        <f>-'Aumento del consumo eléctrico'!$K$24</f>
        <v>-5114.289249</v>
      </c>
      <c r="M62" s="43">
        <f t="shared" si="12"/>
        <v>-51142.89249</v>
      </c>
    </row>
    <row r="63">
      <c r="A63" s="36"/>
      <c r="B63" s="41" t="s">
        <v>15</v>
      </c>
      <c r="C63" s="21">
        <f>'Mano de obra'!$G$11/10</f>
        <v>-56795.68</v>
      </c>
      <c r="D63" s="21">
        <f>'Mano de obra'!$G$11/10</f>
        <v>-56795.68</v>
      </c>
      <c r="E63" s="21">
        <f>'Mano de obra'!$G$11/10</f>
        <v>-56795.68</v>
      </c>
      <c r="F63" s="21">
        <f>'Mano de obra'!$G$11/10</f>
        <v>-56795.68</v>
      </c>
      <c r="G63" s="21">
        <f>'Mano de obra'!$G$11/10</f>
        <v>-56795.68</v>
      </c>
      <c r="H63" s="21">
        <f>'Mano de obra'!$G$11/10</f>
        <v>-56795.68</v>
      </c>
      <c r="I63" s="21">
        <f>'Mano de obra'!$G$11/10</f>
        <v>-56795.68</v>
      </c>
      <c r="J63" s="21">
        <f>'Mano de obra'!$G$11/10</f>
        <v>-56795.68</v>
      </c>
      <c r="K63" s="21">
        <f>'Mano de obra'!$G$11/10</f>
        <v>-56795.68</v>
      </c>
      <c r="L63" s="21">
        <f>'Mano de obra'!$G$11/10</f>
        <v>-56795.68</v>
      </c>
      <c r="M63" s="43">
        <f t="shared" si="12"/>
        <v>-567956.8</v>
      </c>
    </row>
    <row r="64">
      <c r="A64" s="68"/>
      <c r="B64" s="2" t="s">
        <v>16</v>
      </c>
      <c r="C64" s="51">
        <f t="shared" ref="C64:M64" si="13">SUM(C57:C63)</f>
        <v>275219.7648</v>
      </c>
      <c r="D64" s="51">
        <f t="shared" si="13"/>
        <v>275219.7648</v>
      </c>
      <c r="E64" s="51">
        <f t="shared" si="13"/>
        <v>275219.7648</v>
      </c>
      <c r="F64" s="51">
        <f t="shared" si="13"/>
        <v>275219.7648</v>
      </c>
      <c r="G64" s="51">
        <f t="shared" si="13"/>
        <v>514675.7648</v>
      </c>
      <c r="H64" s="51">
        <f t="shared" si="13"/>
        <v>275219.7648</v>
      </c>
      <c r="I64" s="51">
        <f t="shared" si="13"/>
        <v>275219.7648</v>
      </c>
      <c r="J64" s="51">
        <f t="shared" si="13"/>
        <v>275219.7648</v>
      </c>
      <c r="K64" s="51">
        <f t="shared" si="13"/>
        <v>275219.7648</v>
      </c>
      <c r="L64" s="51">
        <f t="shared" si="13"/>
        <v>169278.3881</v>
      </c>
      <c r="M64" s="58">
        <f t="shared" si="13"/>
        <v>2885712.271</v>
      </c>
    </row>
    <row r="65">
      <c r="A65" s="68"/>
      <c r="B65" s="2" t="s">
        <v>17</v>
      </c>
      <c r="C65" s="59">
        <f t="array" ref="C65">NPV($L$10,$D$25:$L$25,$C$38:$L$38,$C$51:$L$51,C64)+$C$25</f>
        <v>1831091.139</v>
      </c>
      <c r="D65" s="59">
        <f t="shared" ref="D65:L65" si="14">NPV($L$10,$D$25:$L$25,$C$38:$L$38,$C$51:$L$51,$C$64:D64)+$C$25</f>
        <v>1932041.409</v>
      </c>
      <c r="E65" s="59">
        <f t="shared" si="14"/>
        <v>2029777.907</v>
      </c>
      <c r="F65" s="59">
        <f t="shared" si="14"/>
        <v>2124402.944</v>
      </c>
      <c r="G65" s="59">
        <f t="shared" si="14"/>
        <v>2295723.488</v>
      </c>
      <c r="H65" s="59">
        <f t="shared" si="14"/>
        <v>2384419.61</v>
      </c>
      <c r="I65" s="59">
        <f t="shared" si="14"/>
        <v>2470292.072</v>
      </c>
      <c r="J65" s="59">
        <f t="shared" si="14"/>
        <v>2553430.767</v>
      </c>
      <c r="K65" s="59">
        <f t="shared" si="14"/>
        <v>2633922.725</v>
      </c>
      <c r="L65" s="59">
        <f t="shared" si="14"/>
        <v>2681854.518</v>
      </c>
      <c r="M65" s="43">
        <f>L65</f>
        <v>2681854.518</v>
      </c>
    </row>
    <row r="66">
      <c r="C66" s="60"/>
      <c r="D66" s="60"/>
      <c r="E66" s="60"/>
      <c r="F66" s="60"/>
      <c r="G66" s="60"/>
      <c r="H66" s="60"/>
      <c r="I66" s="60"/>
      <c r="J66" s="60"/>
      <c r="K66" s="60"/>
      <c r="L66" s="60"/>
    </row>
    <row r="68">
      <c r="A68" s="98"/>
      <c r="B68" s="37" t="s">
        <v>24</v>
      </c>
      <c r="C68" s="38" t="s">
        <v>19</v>
      </c>
      <c r="D68" s="39"/>
      <c r="E68" s="39"/>
      <c r="F68" s="39"/>
      <c r="G68" s="39"/>
      <c r="H68" s="39"/>
      <c r="I68" s="39"/>
      <c r="J68" s="39"/>
      <c r="K68" s="39"/>
      <c r="L68" s="8"/>
      <c r="M68" s="37" t="s">
        <v>20</v>
      </c>
    </row>
    <row r="69">
      <c r="A69" s="98"/>
      <c r="B69" s="40"/>
      <c r="C69" s="2">
        <v>1.0</v>
      </c>
      <c r="D69" s="2">
        <v>2.0</v>
      </c>
      <c r="E69" s="2">
        <v>3.0</v>
      </c>
      <c r="F69" s="2">
        <v>4.0</v>
      </c>
      <c r="G69" s="2">
        <v>5.0</v>
      </c>
      <c r="H69" s="2">
        <v>6.0</v>
      </c>
      <c r="I69" s="2">
        <v>7.0</v>
      </c>
      <c r="J69" s="2">
        <v>8.0</v>
      </c>
      <c r="K69" s="2">
        <v>9.0</v>
      </c>
      <c r="L69" s="2">
        <v>10.0</v>
      </c>
      <c r="M69" s="40"/>
    </row>
    <row r="70">
      <c r="A70" s="36"/>
      <c r="B70" s="41" t="s">
        <v>5</v>
      </c>
      <c r="C70" s="41"/>
      <c r="D70" s="20"/>
      <c r="E70" s="20"/>
      <c r="F70" s="20"/>
      <c r="G70" s="20"/>
      <c r="H70" s="41"/>
      <c r="I70" s="20"/>
      <c r="J70" s="20"/>
      <c r="K70" s="20"/>
      <c r="L70" s="20"/>
      <c r="M70" s="43">
        <f t="shared" ref="M70:M76" si="15">SUM(C70:L70)</f>
        <v>0</v>
      </c>
    </row>
    <row r="71">
      <c r="A71" s="36"/>
      <c r="B71" s="41" t="s">
        <v>7</v>
      </c>
      <c r="C71" s="20"/>
      <c r="D71" s="65"/>
      <c r="E71" s="66">
        <f>Accidentes!$F$10/6</f>
        <v>478912</v>
      </c>
      <c r="F71" s="66">
        <f>Accidentes!$F$10/6</f>
        <v>478912</v>
      </c>
      <c r="G71" s="66">
        <f>Accidentes!$F$10/6</f>
        <v>478912</v>
      </c>
      <c r="H71" s="66">
        <f>Accidentes!$F$10/6</f>
        <v>478912</v>
      </c>
      <c r="I71" s="66">
        <f>Accidentes!$F$10/6</f>
        <v>478912</v>
      </c>
      <c r="J71" s="66">
        <f>Accidentes!$F$10/6</f>
        <v>478912</v>
      </c>
      <c r="K71" s="65"/>
      <c r="L71" s="20"/>
      <c r="M71" s="43">
        <f t="shared" si="15"/>
        <v>2873472</v>
      </c>
    </row>
    <row r="72">
      <c r="A72" s="36"/>
      <c r="B72" s="41" t="s">
        <v>9</v>
      </c>
      <c r="C72" s="21">
        <f>'Beneficio en inyección'!$D$13</f>
        <v>148450.918</v>
      </c>
      <c r="D72" s="21">
        <f>'Beneficio en inyección'!$D$13</f>
        <v>148450.918</v>
      </c>
      <c r="E72" s="21">
        <f>'Beneficio en inyección'!$D$13</f>
        <v>148450.918</v>
      </c>
      <c r="F72" s="21">
        <f>'Beneficio en inyección'!$D$13</f>
        <v>148450.918</v>
      </c>
      <c r="G72" s="21">
        <f>'Beneficio en inyección'!$D$13</f>
        <v>148450.918</v>
      </c>
      <c r="H72" s="21">
        <f>'Beneficio en inyección'!$D$13</f>
        <v>148450.918</v>
      </c>
      <c r="I72" s="21">
        <f>'Beneficio en inyección'!$D$13</f>
        <v>148450.918</v>
      </c>
      <c r="J72" s="21">
        <f>'Beneficio en inyección'!$D$13</f>
        <v>148450.918</v>
      </c>
      <c r="K72" s="21">
        <f>'Beneficio en inyección'!$D$13</f>
        <v>148450.918</v>
      </c>
      <c r="L72" s="21">
        <f>'Beneficio en inyección'!$D$13</f>
        <v>148450.918</v>
      </c>
      <c r="M72" s="43">
        <f t="shared" si="15"/>
        <v>1484509.18</v>
      </c>
    </row>
    <row r="73">
      <c r="A73" s="36"/>
      <c r="B73" s="41" t="s">
        <v>10</v>
      </c>
      <c r="C73" s="21">
        <f>'Venta de plástico'!$F$32</f>
        <v>192575.336</v>
      </c>
      <c r="D73" s="21">
        <f>'Venta de plástico'!$F$32</f>
        <v>192575.336</v>
      </c>
      <c r="E73" s="21">
        <f>'Venta de plástico'!$F$32</f>
        <v>192575.336</v>
      </c>
      <c r="F73" s="21">
        <f>'Venta de plástico'!$F$32</f>
        <v>192575.336</v>
      </c>
      <c r="G73" s="21">
        <f>'Venta de plástico'!$F$32</f>
        <v>192575.336</v>
      </c>
      <c r="H73" s="21">
        <f>'Venta de plástico'!$F$32</f>
        <v>192575.336</v>
      </c>
      <c r="I73" s="21">
        <f>'Venta de plástico'!$F$32</f>
        <v>192575.336</v>
      </c>
      <c r="J73" s="21">
        <f>'Venta de plástico'!$F$32</f>
        <v>192575.336</v>
      </c>
      <c r="K73" s="21">
        <f>'Venta de plástico'!$F$32</f>
        <v>192575.336</v>
      </c>
      <c r="L73" s="21">
        <f>'Venta de plástico'!$F$32</f>
        <v>192575.336</v>
      </c>
      <c r="M73" s="43">
        <f t="shared" si="15"/>
        <v>1925753.36</v>
      </c>
    </row>
    <row r="74">
      <c r="A74" s="36"/>
      <c r="B74" s="41" t="s">
        <v>11</v>
      </c>
      <c r="C74" s="21">
        <f>-Mantenimiento!$C$33</f>
        <v>-3896.52</v>
      </c>
      <c r="D74" s="21">
        <f>-Mantenimiento!$C$33</f>
        <v>-3896.52</v>
      </c>
      <c r="E74" s="21">
        <f>-Mantenimiento!$C$33</f>
        <v>-3896.52</v>
      </c>
      <c r="F74" s="21">
        <f>-Mantenimiento!$C$33</f>
        <v>-3896.52</v>
      </c>
      <c r="G74" s="21">
        <f>-Mantenimiento!$C$33</f>
        <v>-3896.52</v>
      </c>
      <c r="H74" s="21">
        <f>-Mantenimiento!$C$33</f>
        <v>-3896.52</v>
      </c>
      <c r="I74" s="21">
        <f>-Mantenimiento!$C$33</f>
        <v>-3896.52</v>
      </c>
      <c r="J74" s="21">
        <f>-Mantenimiento!$C$33</f>
        <v>-3896.52</v>
      </c>
      <c r="K74" s="21">
        <f>-Mantenimiento!$C$33</f>
        <v>-3896.52</v>
      </c>
      <c r="L74" s="21">
        <f>-Mantenimiento!$C$35</f>
        <v>-109837.8967</v>
      </c>
      <c r="M74" s="43">
        <f t="shared" si="15"/>
        <v>-144906.5767</v>
      </c>
    </row>
    <row r="75">
      <c r="A75" s="36"/>
      <c r="B75" s="41" t="s">
        <v>13</v>
      </c>
      <c r="C75" s="21">
        <f>-'Aumento del consumo eléctrico'!$K$24</f>
        <v>-5114.289249</v>
      </c>
      <c r="D75" s="21">
        <f>-'Aumento del consumo eléctrico'!$K$24</f>
        <v>-5114.289249</v>
      </c>
      <c r="E75" s="21">
        <f>-'Aumento del consumo eléctrico'!$K$24</f>
        <v>-5114.289249</v>
      </c>
      <c r="F75" s="21">
        <f>-'Aumento del consumo eléctrico'!$K$24</f>
        <v>-5114.289249</v>
      </c>
      <c r="G75" s="21">
        <f>-'Aumento del consumo eléctrico'!$K$24</f>
        <v>-5114.289249</v>
      </c>
      <c r="H75" s="21">
        <f>-'Aumento del consumo eléctrico'!$K$24</f>
        <v>-5114.289249</v>
      </c>
      <c r="I75" s="21">
        <f>-'Aumento del consumo eléctrico'!$K$24</f>
        <v>-5114.289249</v>
      </c>
      <c r="J75" s="21">
        <f>-'Aumento del consumo eléctrico'!$K$24</f>
        <v>-5114.289249</v>
      </c>
      <c r="K75" s="21">
        <f>-'Aumento del consumo eléctrico'!$K$24</f>
        <v>-5114.289249</v>
      </c>
      <c r="L75" s="21">
        <f>-'Aumento del consumo eléctrico'!$K$24</f>
        <v>-5114.289249</v>
      </c>
      <c r="M75" s="43">
        <f t="shared" si="15"/>
        <v>-51142.89249</v>
      </c>
    </row>
    <row r="76">
      <c r="A76" s="36"/>
      <c r="B76" s="41" t="s">
        <v>15</v>
      </c>
      <c r="C76" s="21">
        <f>'Mano de obra'!$G$11/10</f>
        <v>-56795.68</v>
      </c>
      <c r="D76" s="21">
        <f>'Mano de obra'!$G$11/10</f>
        <v>-56795.68</v>
      </c>
      <c r="E76" s="21">
        <f>'Mano de obra'!$G$11/10</f>
        <v>-56795.68</v>
      </c>
      <c r="F76" s="21">
        <f>'Mano de obra'!$G$11/10</f>
        <v>-56795.68</v>
      </c>
      <c r="G76" s="21">
        <f>'Mano de obra'!$G$11/10</f>
        <v>-56795.68</v>
      </c>
      <c r="H76" s="21">
        <f>'Mano de obra'!$G$11/10</f>
        <v>-56795.68</v>
      </c>
      <c r="I76" s="21">
        <f>'Mano de obra'!$G$11/10</f>
        <v>-56795.68</v>
      </c>
      <c r="J76" s="21">
        <f>'Mano de obra'!$G$11/10</f>
        <v>-56795.68</v>
      </c>
      <c r="K76" s="21">
        <f>'Mano de obra'!$G$11/10</f>
        <v>-56795.68</v>
      </c>
      <c r="L76" s="21">
        <f>'Mano de obra'!$G$11/10</f>
        <v>-56795.68</v>
      </c>
      <c r="M76" s="43">
        <f t="shared" si="15"/>
        <v>-567956.8</v>
      </c>
    </row>
    <row r="77">
      <c r="A77" s="68"/>
      <c r="B77" s="2" t="s">
        <v>16</v>
      </c>
      <c r="C77" s="51">
        <f t="shared" ref="C77:M77" si="16">SUM(C70:C76)</f>
        <v>275219.7648</v>
      </c>
      <c r="D77" s="51">
        <f t="shared" si="16"/>
        <v>275219.7648</v>
      </c>
      <c r="E77" s="51">
        <f t="shared" si="16"/>
        <v>754131.7648</v>
      </c>
      <c r="F77" s="51">
        <f t="shared" si="16"/>
        <v>754131.7648</v>
      </c>
      <c r="G77" s="51">
        <f t="shared" si="16"/>
        <v>754131.7648</v>
      </c>
      <c r="H77" s="51">
        <f t="shared" si="16"/>
        <v>754131.7648</v>
      </c>
      <c r="I77" s="51">
        <f t="shared" si="16"/>
        <v>754131.7648</v>
      </c>
      <c r="J77" s="51">
        <f t="shared" si="16"/>
        <v>754131.7648</v>
      </c>
      <c r="K77" s="51">
        <f t="shared" si="16"/>
        <v>275219.7648</v>
      </c>
      <c r="L77" s="51">
        <f t="shared" si="16"/>
        <v>169278.3881</v>
      </c>
      <c r="M77" s="58">
        <f t="shared" si="16"/>
        <v>5519728.271</v>
      </c>
    </row>
    <row r="78">
      <c r="A78" s="68"/>
      <c r="B78" s="2" t="s">
        <v>17</v>
      </c>
      <c r="C78" s="59">
        <f t="array" ref="C78">NPV(L10,$D$25:$L$25,$C$38:$L$38,$C$51:$L$51,$C$64:$L$64,C77)+C25</f>
        <v>2757303.096</v>
      </c>
      <c r="D78" s="59">
        <f t="shared" ref="D78:L78" si="17">NPV($L$10,$D$25:$L$25,$C$38:$L$38,$C$51:$L$51,$C$64:$L$64,$C$77:D77)+$C$25</f>
        <v>2830349.754</v>
      </c>
      <c r="E78" s="59">
        <f t="shared" si="17"/>
        <v>3024133.456</v>
      </c>
      <c r="F78" s="59">
        <f t="shared" si="17"/>
        <v>3211748.014</v>
      </c>
      <c r="G78" s="59">
        <f t="shared" si="17"/>
        <v>3393389.824</v>
      </c>
      <c r="H78" s="59">
        <f t="shared" si="17"/>
        <v>3569249.03</v>
      </c>
      <c r="I78" s="59">
        <f t="shared" si="17"/>
        <v>3739509.721</v>
      </c>
      <c r="J78" s="59">
        <f t="shared" si="17"/>
        <v>3904350.129</v>
      </c>
      <c r="K78" s="59">
        <f t="shared" si="17"/>
        <v>3962593.345</v>
      </c>
      <c r="L78" s="59">
        <f t="shared" si="17"/>
        <v>3997276.335</v>
      </c>
      <c r="M78" s="43">
        <f>L78</f>
        <v>3997276.335</v>
      </c>
    </row>
  </sheetData>
  <mergeCells count="24">
    <mergeCell ref="B2:B3"/>
    <mergeCell ref="C2:C3"/>
    <mergeCell ref="D2:H2"/>
    <mergeCell ref="J2:K2"/>
    <mergeCell ref="J3:K3"/>
    <mergeCell ref="J4:K4"/>
    <mergeCell ref="J6:K6"/>
    <mergeCell ref="B29:B30"/>
    <mergeCell ref="B42:B43"/>
    <mergeCell ref="B55:B56"/>
    <mergeCell ref="B68:B69"/>
    <mergeCell ref="C42:L42"/>
    <mergeCell ref="M42:M43"/>
    <mergeCell ref="C55:L55"/>
    <mergeCell ref="M55:M56"/>
    <mergeCell ref="C68:L68"/>
    <mergeCell ref="M68:M69"/>
    <mergeCell ref="J9:K9"/>
    <mergeCell ref="J10:K10"/>
    <mergeCell ref="B16:B17"/>
    <mergeCell ref="C16:L16"/>
    <mergeCell ref="M16:M17"/>
    <mergeCell ref="C29:L29"/>
    <mergeCell ref="M29:M30"/>
  </mergeCells>
  <conditionalFormatting sqref="J14">
    <cfRule type="notContainsBlanks" dxfId="0" priority="1">
      <formula>LEN(TRIM(J14))&gt;0</formula>
    </cfRule>
  </conditionalFormatting>
  <conditionalFormatting sqref="C4:C5 D4:H11 C9:C11 C18:I25 J18 K18:N25 J21:J25 C31:L38 M31:M39 A44:B44 C44:L51 M44:M52 A57:B57 C57:L64 M57:M65 A70:B70 C70:L77 M70:M78">
    <cfRule type="cellIs" dxfId="1" priority="2" operator="lessThanOrEqual">
      <formula>0</formula>
    </cfRule>
  </conditionalFormatting>
  <conditionalFormatting sqref="C12:H12 C26 D26:M27 N26 C39:M39 A45:F45 I45 C52:L53 M52 A58:F58 I58 C65:L66 M65 A71:F71 I71:J71 C78:M78">
    <cfRule type="cellIs" dxfId="2" priority="3" operator="lessThanOrEqual">
      <formula>0</formula>
    </cfRule>
  </conditionalFormatting>
  <conditionalFormatting sqref="C12:H12 C26 D26:M27 N26 C39:M39 A45:F45 I45 C52:L53 M52 A58:F58 I58 C65:L66 M65 A71:F71 I71:J71 C78:M78">
    <cfRule type="cellIs" dxfId="3" priority="4" operator="greaterThanOrEqual">
      <formula>0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6.0"/>
    <col customWidth="1" min="3" max="3" width="20.14"/>
  </cols>
  <sheetData>
    <row r="1">
      <c r="A1" s="41"/>
      <c r="B1" s="82" t="s">
        <v>32</v>
      </c>
      <c r="C1" s="82" t="s">
        <v>8</v>
      </c>
    </row>
    <row r="2">
      <c r="A2" s="99" t="s">
        <v>33</v>
      </c>
      <c r="B2" s="41">
        <v>1.0</v>
      </c>
      <c r="C2" s="21">
        <f>'Flujo de caja'!B24</f>
        <v>-1708943.857</v>
      </c>
      <c r="M2" s="20"/>
    </row>
    <row r="3">
      <c r="A3" s="100"/>
      <c r="B3" s="41">
        <v>2.0</v>
      </c>
      <c r="C3" s="21">
        <f>'Flujo de caja'!C24</f>
        <v>-2480432.989</v>
      </c>
    </row>
    <row r="4">
      <c r="A4" s="100"/>
      <c r="B4" s="41">
        <v>3.0</v>
      </c>
      <c r="C4" s="21">
        <f>'Flujo de caja'!D24</f>
        <v>-3394290.82</v>
      </c>
    </row>
    <row r="5">
      <c r="A5" s="100"/>
      <c r="B5" s="41">
        <v>4.0</v>
      </c>
      <c r="C5" s="21">
        <f>'Flujo de caja'!E24</f>
        <v>-3144528.18</v>
      </c>
    </row>
    <row r="6">
      <c r="A6" s="100"/>
      <c r="B6" s="41">
        <v>5.0</v>
      </c>
      <c r="C6" s="21">
        <f>'Flujo de caja'!F24</f>
        <v>-2902716.784</v>
      </c>
    </row>
    <row r="7">
      <c r="A7" s="100"/>
      <c r="B7" s="41">
        <v>6.0</v>
      </c>
      <c r="C7" s="21">
        <f>'Flujo de caja'!G24</f>
        <v>-2668603.504</v>
      </c>
    </row>
    <row r="8">
      <c r="A8" s="100"/>
      <c r="B8" s="41">
        <v>7.0</v>
      </c>
      <c r="C8" s="21">
        <f>'Flujo de caja'!H24</f>
        <v>-2244736.671</v>
      </c>
    </row>
    <row r="9">
      <c r="A9" s="100"/>
      <c r="B9" s="41">
        <v>8.0</v>
      </c>
      <c r="C9" s="21">
        <f>'Flujo de caja'!I24</f>
        <v>-2025292.211</v>
      </c>
    </row>
    <row r="10">
      <c r="A10" s="100"/>
      <c r="B10" s="41">
        <v>9.0</v>
      </c>
      <c r="C10" s="21">
        <f>'Flujo de caja'!J24</f>
        <v>-1812833.81</v>
      </c>
    </row>
    <row r="11">
      <c r="A11" s="40"/>
      <c r="B11" s="41">
        <v>10.0</v>
      </c>
      <c r="C11" s="21">
        <f>'Flujo de caja'!K24</f>
        <v>-1686317.916</v>
      </c>
    </row>
    <row r="12">
      <c r="A12" s="99" t="s">
        <v>34</v>
      </c>
      <c r="B12" s="41">
        <v>11.0</v>
      </c>
      <c r="C12" s="21">
        <f>'Flujo de caja'!B37</f>
        <v>-1487171.507</v>
      </c>
    </row>
    <row r="13">
      <c r="A13" s="100"/>
      <c r="B13" s="41">
        <v>12.0</v>
      </c>
      <c r="C13" s="21">
        <f>'Flujo de caja'!C37</f>
        <v>-1294364.964</v>
      </c>
    </row>
    <row r="14">
      <c r="A14" s="100"/>
      <c r="B14" s="41">
        <v>13.0</v>
      </c>
      <c r="C14" s="21">
        <f>'Flujo de caja'!D37</f>
        <v>-1107696.458</v>
      </c>
    </row>
    <row r="15">
      <c r="A15" s="100"/>
      <c r="B15" s="41">
        <v>14.0</v>
      </c>
      <c r="C15" s="21">
        <f>'Flujo de caja'!E37</f>
        <v>-926970.5823</v>
      </c>
    </row>
    <row r="16">
      <c r="A16" s="100"/>
      <c r="B16" s="41">
        <v>15.0</v>
      </c>
      <c r="C16" s="21">
        <f>'Flujo de caja'!F37</f>
        <v>-599762.7254</v>
      </c>
    </row>
    <row r="17">
      <c r="A17" s="100"/>
      <c r="B17" s="41">
        <v>16.0</v>
      </c>
      <c r="C17" s="21">
        <f>'Flujo de caja'!G37</f>
        <v>-430360.5784</v>
      </c>
    </row>
    <row r="18">
      <c r="A18" s="100"/>
      <c r="B18" s="41">
        <v>17.0</v>
      </c>
      <c r="C18" s="21">
        <f>'Flujo de caja'!H37</f>
        <v>-266351.3836</v>
      </c>
    </row>
    <row r="19">
      <c r="A19" s="100"/>
      <c r="B19" s="41">
        <v>18.0</v>
      </c>
      <c r="C19" s="21">
        <f>'Flujo de caja'!I37</f>
        <v>-107563.4553</v>
      </c>
    </row>
    <row r="20">
      <c r="A20" s="100"/>
      <c r="B20" s="41">
        <v>19.0</v>
      </c>
      <c r="C20" s="21">
        <f>'Flujo de caja'!J37</f>
        <v>46169.42653</v>
      </c>
    </row>
    <row r="21">
      <c r="A21" s="40"/>
      <c r="B21" s="41">
        <v>20.0</v>
      </c>
      <c r="C21" s="21">
        <f>'Flujo de caja'!K37</f>
        <v>137715.1266</v>
      </c>
    </row>
    <row r="22">
      <c r="A22" s="99" t="s">
        <v>35</v>
      </c>
      <c r="B22" s="41">
        <v>21.0</v>
      </c>
      <c r="C22" s="21">
        <f>'Flujo de caja'!B58</f>
        <v>281815.5778</v>
      </c>
    </row>
    <row r="23">
      <c r="A23" s="100"/>
      <c r="B23" s="41">
        <v>22.0</v>
      </c>
      <c r="C23" s="21">
        <f>'Flujo de caja'!C58</f>
        <v>421328.5615</v>
      </c>
    </row>
    <row r="24">
      <c r="A24" s="100"/>
      <c r="B24" s="41">
        <v>23.0</v>
      </c>
      <c r="C24" s="21">
        <f>'Flujo de caja'!D58</f>
        <v>556400.1205</v>
      </c>
    </row>
    <row r="25">
      <c r="A25" s="100"/>
      <c r="B25" s="41">
        <v>24.0</v>
      </c>
      <c r="C25" s="21">
        <f>'Flujo de caja'!E58</f>
        <v>687171.6487</v>
      </c>
    </row>
    <row r="26">
      <c r="A26" s="100"/>
      <c r="B26" s="41">
        <v>25.0</v>
      </c>
      <c r="C26" s="21">
        <f>'Flujo de caja'!F58</f>
        <v>1006553.23</v>
      </c>
    </row>
    <row r="27">
      <c r="A27" s="100"/>
      <c r="B27" s="41">
        <v>26.0</v>
      </c>
      <c r="C27" s="21">
        <f>'Flujo de caja'!G58</f>
        <v>1315767.233</v>
      </c>
    </row>
    <row r="28">
      <c r="A28" s="100"/>
      <c r="B28" s="41">
        <v>27.0</v>
      </c>
      <c r="C28" s="21">
        <f>'Flujo de caja'!H58</f>
        <v>1434442.729</v>
      </c>
    </row>
    <row r="29">
      <c r="A29" s="100"/>
      <c r="B29" s="41">
        <v>28.0</v>
      </c>
      <c r="C29" s="21">
        <f>'Flujo de caja'!I58</f>
        <v>1549340.167</v>
      </c>
    </row>
    <row r="30">
      <c r="A30" s="100"/>
      <c r="B30" s="41">
        <v>29.0</v>
      </c>
      <c r="C30" s="21">
        <f>'Flujo de caja'!J58</f>
        <v>1660579.821</v>
      </c>
    </row>
    <row r="31">
      <c r="A31" s="40"/>
      <c r="B31" s="41">
        <v>30.0</v>
      </c>
      <c r="C31" s="21">
        <f>'Flujo de caja'!K58</f>
        <v>1726821.42</v>
      </c>
    </row>
    <row r="32">
      <c r="A32" s="99" t="s">
        <v>36</v>
      </c>
      <c r="B32" s="41">
        <v>31.0</v>
      </c>
      <c r="C32" s="21">
        <f>'Flujo de caja'!B71</f>
        <v>1831091.139</v>
      </c>
    </row>
    <row r="33">
      <c r="A33" s="100"/>
      <c r="B33" s="41">
        <v>32.0</v>
      </c>
      <c r="C33" s="21">
        <f>'Flujo de caja'!C71</f>
        <v>1932041.409</v>
      </c>
    </row>
    <row r="34">
      <c r="A34" s="100"/>
      <c r="B34" s="41">
        <v>33.0</v>
      </c>
      <c r="C34" s="21">
        <f>'Flujo de caja'!D71</f>
        <v>2029777.907</v>
      </c>
    </row>
    <row r="35">
      <c r="A35" s="100"/>
      <c r="B35" s="41">
        <v>34.0</v>
      </c>
      <c r="C35" s="21">
        <f>'Flujo de caja'!E71</f>
        <v>2124402.944</v>
      </c>
    </row>
    <row r="36">
      <c r="A36" s="100"/>
      <c r="B36" s="41">
        <v>35.0</v>
      </c>
      <c r="C36" s="21">
        <f>'Flujo de caja'!F71</f>
        <v>2295723.488</v>
      </c>
    </row>
    <row r="37">
      <c r="A37" s="100"/>
      <c r="B37" s="41">
        <v>36.0</v>
      </c>
      <c r="C37" s="21">
        <f>'Flujo de caja'!G71</f>
        <v>2384419.61</v>
      </c>
    </row>
    <row r="38">
      <c r="A38" s="100"/>
      <c r="B38" s="41">
        <v>37.0</v>
      </c>
      <c r="C38" s="21">
        <f>'Flujo de caja'!H71</f>
        <v>2470292.072</v>
      </c>
    </row>
    <row r="39">
      <c r="A39" s="100"/>
      <c r="B39" s="41">
        <v>38.0</v>
      </c>
      <c r="C39" s="21">
        <f>'Flujo de caja'!I71</f>
        <v>2553430.767</v>
      </c>
    </row>
    <row r="40">
      <c r="A40" s="100"/>
      <c r="B40" s="41">
        <v>39.0</v>
      </c>
      <c r="C40" s="21">
        <f>'Flujo de caja'!J71</f>
        <v>2633922.725</v>
      </c>
    </row>
    <row r="41">
      <c r="A41" s="40"/>
      <c r="B41" s="41">
        <v>40.0</v>
      </c>
      <c r="C41" s="21">
        <f>'Flujo de caja'!K71</f>
        <v>2681854.518</v>
      </c>
    </row>
    <row r="42">
      <c r="A42" s="99" t="s">
        <v>37</v>
      </c>
      <c r="B42" s="41">
        <v>41.0</v>
      </c>
      <c r="C42" s="21">
        <f>'Flujo de caja'!B84</f>
        <v>2757303.096</v>
      </c>
    </row>
    <row r="43">
      <c r="A43" s="100"/>
      <c r="B43" s="41">
        <v>42.0</v>
      </c>
      <c r="C43" s="21">
        <f>'Flujo de caja'!C84</f>
        <v>2830349.754</v>
      </c>
    </row>
    <row r="44">
      <c r="A44" s="100"/>
      <c r="B44" s="41">
        <v>43.0</v>
      </c>
      <c r="C44" s="21">
        <f>'Flujo de caja'!D84</f>
        <v>3024133.456</v>
      </c>
    </row>
    <row r="45">
      <c r="A45" s="100"/>
      <c r="B45" s="41">
        <v>44.0</v>
      </c>
      <c r="C45" s="21">
        <f>'Flujo de caja'!E84</f>
        <v>3211748.014</v>
      </c>
    </row>
    <row r="46">
      <c r="A46" s="100"/>
      <c r="B46" s="41">
        <v>45.0</v>
      </c>
      <c r="C46" s="21">
        <f>'Flujo de caja'!F84</f>
        <v>3393389.824</v>
      </c>
    </row>
    <row r="47">
      <c r="A47" s="100"/>
      <c r="B47" s="41">
        <v>46.0</v>
      </c>
      <c r="C47" s="21">
        <f>'Flujo de caja'!G84</f>
        <v>3569249.03</v>
      </c>
    </row>
    <row r="48">
      <c r="A48" s="100"/>
      <c r="B48" s="41">
        <v>47.0</v>
      </c>
      <c r="C48" s="21">
        <f>'Flujo de caja'!H84</f>
        <v>3739509.721</v>
      </c>
    </row>
    <row r="49">
      <c r="A49" s="100"/>
      <c r="B49" s="41">
        <v>48.0</v>
      </c>
      <c r="C49" s="21">
        <f>'Flujo de caja'!I84</f>
        <v>3904350.129</v>
      </c>
    </row>
    <row r="50">
      <c r="A50" s="100"/>
      <c r="B50" s="41">
        <v>49.0</v>
      </c>
      <c r="C50" s="21">
        <f>'Flujo de caja'!J84</f>
        <v>3962593.345</v>
      </c>
    </row>
    <row r="51">
      <c r="A51" s="40"/>
      <c r="B51" s="41">
        <v>50.0</v>
      </c>
      <c r="C51" s="21">
        <f>'Flujo de caja'!K84</f>
        <v>3997276.335</v>
      </c>
    </row>
  </sheetData>
  <mergeCells count="5">
    <mergeCell ref="A2:A11"/>
    <mergeCell ref="A12:A21"/>
    <mergeCell ref="A22:A31"/>
    <mergeCell ref="A32:A41"/>
    <mergeCell ref="A42:A51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32.0"/>
    <col customWidth="1" min="2" max="2" width="29.86"/>
    <col customWidth="1" min="4" max="4" width="19.43"/>
    <col customWidth="1" min="5" max="5" width="16.57"/>
    <col customWidth="1" min="6" max="6" width="20.14"/>
    <col customWidth="1" min="8" max="8" width="21.71"/>
  </cols>
  <sheetData>
    <row r="1">
      <c r="A1" s="101" t="s">
        <v>38</v>
      </c>
      <c r="B1" s="101" t="s">
        <v>39</v>
      </c>
      <c r="D1" s="2" t="s">
        <v>38</v>
      </c>
      <c r="E1" s="102" t="s">
        <v>40</v>
      </c>
      <c r="F1" s="103" t="s">
        <v>38</v>
      </c>
      <c r="G1" s="102" t="s">
        <v>41</v>
      </c>
      <c r="H1" s="103" t="s">
        <v>38</v>
      </c>
      <c r="I1" s="2" t="s">
        <v>42</v>
      </c>
      <c r="J1" s="6"/>
      <c r="K1" s="6"/>
    </row>
    <row r="2">
      <c r="A2" s="104" t="s">
        <v>43</v>
      </c>
      <c r="B2" s="105">
        <v>195632.96</v>
      </c>
      <c r="D2" s="106" t="s">
        <v>44</v>
      </c>
      <c r="E2" s="22">
        <f t="shared" ref="E2:E7" si="1">B2</f>
        <v>195632.96</v>
      </c>
      <c r="F2" s="107" t="s">
        <v>45</v>
      </c>
      <c r="G2" s="22">
        <f>B9/2</f>
        <v>596702.58</v>
      </c>
      <c r="H2" s="108" t="s">
        <v>46</v>
      </c>
      <c r="I2" s="21">
        <f>B8</f>
        <v>774790.22</v>
      </c>
      <c r="J2" s="6"/>
      <c r="K2" s="6"/>
    </row>
    <row r="3">
      <c r="A3" s="104" t="s">
        <v>47</v>
      </c>
      <c r="B3" s="105">
        <v>196186.87</v>
      </c>
      <c r="D3" s="106" t="s">
        <v>48</v>
      </c>
      <c r="E3" s="22">
        <f t="shared" si="1"/>
        <v>196186.87</v>
      </c>
      <c r="F3" s="107" t="s">
        <v>49</v>
      </c>
      <c r="G3" s="22">
        <f>B10/3</f>
        <v>200154.6667</v>
      </c>
      <c r="H3" s="107" t="s">
        <v>49</v>
      </c>
      <c r="I3" s="21">
        <f>B10/3</f>
        <v>200154.6667</v>
      </c>
      <c r="J3" s="6"/>
      <c r="K3" s="6"/>
    </row>
    <row r="4">
      <c r="A4" s="104" t="s">
        <v>50</v>
      </c>
      <c r="B4" s="105">
        <v>27573.48</v>
      </c>
      <c r="D4" s="106" t="s">
        <v>51</v>
      </c>
      <c r="E4" s="22">
        <f t="shared" si="1"/>
        <v>27573.48</v>
      </c>
      <c r="F4" s="6"/>
      <c r="G4" s="109">
        <f>SUM(G2:G3)</f>
        <v>796857.2467</v>
      </c>
      <c r="H4" s="6"/>
      <c r="I4" s="110">
        <f>SUM(I2:I3)</f>
        <v>974944.8867</v>
      </c>
      <c r="J4" s="6"/>
      <c r="K4" s="6"/>
    </row>
    <row r="5">
      <c r="A5" s="104" t="s">
        <v>52</v>
      </c>
      <c r="B5" s="105">
        <v>15163.0</v>
      </c>
      <c r="D5" s="106" t="s">
        <v>53</v>
      </c>
      <c r="E5" s="22">
        <f t="shared" si="1"/>
        <v>15163</v>
      </c>
      <c r="F5" s="6"/>
      <c r="G5" s="6"/>
      <c r="H5" s="6"/>
      <c r="I5" s="6"/>
      <c r="J5" s="6"/>
      <c r="K5" s="6"/>
    </row>
    <row r="6">
      <c r="A6" s="104" t="s">
        <v>54</v>
      </c>
      <c r="B6" s="105">
        <v>14719.68</v>
      </c>
      <c r="D6" s="106" t="s">
        <v>54</v>
      </c>
      <c r="E6" s="22">
        <f t="shared" si="1"/>
        <v>14719.68</v>
      </c>
      <c r="F6" s="6"/>
      <c r="G6" s="6"/>
      <c r="H6" s="6"/>
      <c r="I6" s="6"/>
      <c r="J6" s="6"/>
      <c r="K6" s="6"/>
    </row>
    <row r="7">
      <c r="A7" s="104" t="s">
        <v>55</v>
      </c>
      <c r="B7" s="105">
        <v>327997.62</v>
      </c>
      <c r="D7" s="106" t="s">
        <v>56</v>
      </c>
      <c r="E7" s="22">
        <f t="shared" si="1"/>
        <v>327997.62</v>
      </c>
      <c r="F7" s="6"/>
      <c r="G7" s="6"/>
      <c r="H7" s="6"/>
      <c r="I7" s="6"/>
      <c r="J7" s="6"/>
      <c r="K7" s="6"/>
    </row>
    <row r="8">
      <c r="A8" s="104" t="s">
        <v>46</v>
      </c>
      <c r="B8" s="105">
        <v>774790.22</v>
      </c>
      <c r="D8" s="106" t="s">
        <v>45</v>
      </c>
      <c r="E8" s="22">
        <f>B9/2</f>
        <v>596702.58</v>
      </c>
      <c r="F8" s="6"/>
      <c r="G8" s="6"/>
      <c r="H8" s="6"/>
      <c r="I8" s="6"/>
      <c r="J8" s="6"/>
      <c r="K8" s="6"/>
    </row>
    <row r="9">
      <c r="A9" s="104" t="s">
        <v>57</v>
      </c>
      <c r="B9" s="105">
        <v>1193405.16</v>
      </c>
      <c r="D9" s="106" t="s">
        <v>49</v>
      </c>
      <c r="E9" s="22">
        <f>B10/3</f>
        <v>200154.6667</v>
      </c>
      <c r="F9" s="6"/>
      <c r="G9" s="6"/>
      <c r="H9" s="6"/>
      <c r="I9" s="6"/>
      <c r="J9" s="6"/>
      <c r="K9" s="6"/>
    </row>
    <row r="10">
      <c r="A10" s="104" t="s">
        <v>58</v>
      </c>
      <c r="B10" s="105">
        <v>600464.0</v>
      </c>
      <c r="D10" s="106" t="s">
        <v>59</v>
      </c>
      <c r="E10" s="22">
        <f>B11</f>
        <v>134813</v>
      </c>
      <c r="F10" s="6"/>
      <c r="G10" s="6"/>
      <c r="H10" s="6"/>
      <c r="I10" s="6"/>
      <c r="J10" s="6"/>
      <c r="K10" s="6"/>
    </row>
    <row r="11">
      <c r="A11" s="104" t="s">
        <v>60</v>
      </c>
      <c r="B11" s="105">
        <v>134813.0</v>
      </c>
      <c r="D11" s="6"/>
      <c r="E11" s="109">
        <f>SUM(E2:E10)</f>
        <v>1708943.857</v>
      </c>
      <c r="F11" s="6"/>
      <c r="G11" s="6"/>
      <c r="H11" s="6"/>
      <c r="I11" s="6"/>
      <c r="J11" s="6"/>
      <c r="K11" s="6"/>
    </row>
    <row r="12">
      <c r="A12" s="111" t="s">
        <v>20</v>
      </c>
      <c r="B12" s="112">
        <f>SUM(B2:B11)</f>
        <v>3480745.99</v>
      </c>
      <c r="D12" s="6"/>
      <c r="E12" s="6"/>
      <c r="F12" s="6"/>
      <c r="G12" s="6"/>
      <c r="H12" s="6"/>
      <c r="I12" s="6"/>
      <c r="J12" s="6"/>
      <c r="K12" s="6"/>
    </row>
    <row r="13">
      <c r="D13" s="6"/>
      <c r="E13" s="6"/>
      <c r="F13" s="6"/>
      <c r="G13" s="6"/>
      <c r="H13" s="6"/>
      <c r="I13" s="6"/>
      <c r="J13" s="6"/>
      <c r="K13" s="6"/>
    </row>
    <row r="14">
      <c r="D14" s="6"/>
      <c r="E14" s="6"/>
      <c r="F14" s="6"/>
      <c r="G14" s="6"/>
      <c r="H14" s="6"/>
      <c r="I14" s="6"/>
      <c r="J14" s="6"/>
      <c r="K14" s="6"/>
    </row>
    <row r="15">
      <c r="A15" s="113" t="s">
        <v>61</v>
      </c>
      <c r="B15" s="39"/>
      <c r="C15" s="39"/>
      <c r="D15" s="39"/>
      <c r="E15" s="8"/>
      <c r="F15" s="114"/>
      <c r="G15" s="114"/>
    </row>
    <row r="16">
      <c r="A16" s="115" t="s">
        <v>62</v>
      </c>
      <c r="B16" s="115" t="s">
        <v>63</v>
      </c>
      <c r="C16" s="115" t="s">
        <v>64</v>
      </c>
      <c r="D16" s="115" t="s">
        <v>65</v>
      </c>
      <c r="E16" s="115" t="s">
        <v>39</v>
      </c>
      <c r="F16" s="114"/>
      <c r="G16" s="114"/>
    </row>
    <row r="17">
      <c r="A17" s="116" t="s">
        <v>66</v>
      </c>
      <c r="B17" s="116" t="s">
        <v>67</v>
      </c>
      <c r="C17" s="117" t="s">
        <v>68</v>
      </c>
      <c r="D17" s="117" t="s">
        <v>69</v>
      </c>
      <c r="E17" s="117" t="s">
        <v>68</v>
      </c>
      <c r="F17" s="114"/>
      <c r="G17" s="114"/>
    </row>
    <row r="18">
      <c r="A18" s="116" t="s">
        <v>70</v>
      </c>
      <c r="B18" s="116" t="s">
        <v>71</v>
      </c>
      <c r="C18" s="117" t="s">
        <v>72</v>
      </c>
      <c r="D18" s="117" t="s">
        <v>73</v>
      </c>
      <c r="E18" s="117" t="s">
        <v>74</v>
      </c>
      <c r="F18" s="114"/>
      <c r="G18" s="114"/>
    </row>
    <row r="19">
      <c r="A19" s="116" t="s">
        <v>75</v>
      </c>
      <c r="B19" s="116" t="s">
        <v>67</v>
      </c>
      <c r="C19" s="117" t="s">
        <v>76</v>
      </c>
      <c r="D19" s="117" t="s">
        <v>69</v>
      </c>
      <c r="E19" s="117" t="s">
        <v>76</v>
      </c>
      <c r="F19" s="114"/>
      <c r="G19" s="114"/>
    </row>
    <row r="20">
      <c r="A20" s="116" t="s">
        <v>77</v>
      </c>
      <c r="B20" s="116" t="s">
        <v>67</v>
      </c>
      <c r="C20" s="117" t="s">
        <v>78</v>
      </c>
      <c r="D20" s="117" t="s">
        <v>79</v>
      </c>
      <c r="E20" s="117" t="s">
        <v>80</v>
      </c>
      <c r="F20" s="114"/>
      <c r="G20" s="114"/>
    </row>
    <row r="21">
      <c r="A21" s="116" t="s">
        <v>81</v>
      </c>
      <c r="B21" s="116" t="s">
        <v>82</v>
      </c>
      <c r="C21" s="117" t="s">
        <v>83</v>
      </c>
      <c r="D21" s="117" t="s">
        <v>84</v>
      </c>
      <c r="E21" s="117" t="s">
        <v>85</v>
      </c>
      <c r="F21" s="114"/>
      <c r="G21" s="114"/>
    </row>
    <row r="22">
      <c r="A22" s="116" t="s">
        <v>86</v>
      </c>
      <c r="B22" s="116" t="s">
        <v>87</v>
      </c>
      <c r="C22" s="117" t="s">
        <v>88</v>
      </c>
      <c r="D22" s="117" t="s">
        <v>69</v>
      </c>
      <c r="E22" s="117" t="s">
        <v>88</v>
      </c>
      <c r="F22" s="114"/>
      <c r="G22" s="114"/>
    </row>
    <row r="23">
      <c r="A23" s="116" t="s">
        <v>89</v>
      </c>
      <c r="B23" s="116" t="s">
        <v>90</v>
      </c>
      <c r="C23" s="117" t="s">
        <v>91</v>
      </c>
      <c r="D23" s="117" t="s">
        <v>73</v>
      </c>
      <c r="E23" s="117" t="s">
        <v>92</v>
      </c>
      <c r="F23" s="114"/>
      <c r="G23" s="114"/>
    </row>
    <row r="24">
      <c r="A24" s="116" t="s">
        <v>93</v>
      </c>
      <c r="B24" s="116" t="s">
        <v>67</v>
      </c>
      <c r="C24" s="117" t="s">
        <v>94</v>
      </c>
      <c r="D24" s="117" t="s">
        <v>95</v>
      </c>
      <c r="E24" s="117" t="s">
        <v>96</v>
      </c>
      <c r="F24" s="114"/>
      <c r="G24" s="114"/>
    </row>
    <row r="25">
      <c r="A25" s="118"/>
      <c r="B25" s="118"/>
      <c r="C25" s="118"/>
      <c r="D25" s="115" t="s">
        <v>20</v>
      </c>
      <c r="E25" s="115" t="s">
        <v>97</v>
      </c>
      <c r="F25" s="114"/>
      <c r="G25" s="114"/>
    </row>
    <row r="26">
      <c r="A26" s="114"/>
      <c r="B26" s="114"/>
      <c r="C26" s="114"/>
      <c r="D26" s="114"/>
      <c r="E26" s="114"/>
      <c r="F26" s="114"/>
      <c r="G26" s="114"/>
    </row>
    <row r="27">
      <c r="A27" s="114"/>
      <c r="B27" s="114"/>
      <c r="C27" s="114"/>
      <c r="D27" s="114"/>
      <c r="E27" s="114"/>
      <c r="F27" s="114"/>
      <c r="G27" s="114"/>
    </row>
    <row r="28">
      <c r="A28" s="113" t="s">
        <v>98</v>
      </c>
      <c r="B28" s="39"/>
      <c r="C28" s="39"/>
      <c r="D28" s="39"/>
      <c r="E28" s="8"/>
      <c r="F28" s="114"/>
      <c r="G28" s="114"/>
    </row>
    <row r="29">
      <c r="A29" s="115" t="s">
        <v>62</v>
      </c>
      <c r="B29" s="115" t="s">
        <v>63</v>
      </c>
      <c r="C29" s="115" t="s">
        <v>64</v>
      </c>
      <c r="D29" s="115" t="s">
        <v>65</v>
      </c>
      <c r="E29" s="115" t="s">
        <v>39</v>
      </c>
      <c r="F29" s="114"/>
      <c r="G29" s="114"/>
    </row>
    <row r="30">
      <c r="A30" s="116" t="s">
        <v>99</v>
      </c>
      <c r="B30" s="116" t="s">
        <v>100</v>
      </c>
      <c r="C30" s="117" t="s">
        <v>101</v>
      </c>
      <c r="D30" s="117" t="s">
        <v>102</v>
      </c>
      <c r="E30" s="117" t="s">
        <v>103</v>
      </c>
      <c r="F30" s="114"/>
      <c r="G30" s="114"/>
    </row>
    <row r="31">
      <c r="A31" s="116" t="s">
        <v>104</v>
      </c>
      <c r="B31" s="116" t="s">
        <v>90</v>
      </c>
      <c r="C31" s="117" t="s">
        <v>105</v>
      </c>
      <c r="D31" s="117" t="s">
        <v>106</v>
      </c>
      <c r="E31" s="117" t="s">
        <v>107</v>
      </c>
      <c r="F31" s="114"/>
      <c r="G31" s="114"/>
    </row>
    <row r="32">
      <c r="A32" s="116" t="s">
        <v>108</v>
      </c>
      <c r="B32" s="116" t="s">
        <v>67</v>
      </c>
      <c r="C32" s="117" t="s">
        <v>109</v>
      </c>
      <c r="D32" s="117" t="s">
        <v>102</v>
      </c>
      <c r="E32" s="117" t="s">
        <v>110</v>
      </c>
      <c r="F32" s="114"/>
      <c r="G32" s="114"/>
    </row>
    <row r="33">
      <c r="A33" s="116" t="s">
        <v>111</v>
      </c>
      <c r="B33" s="116" t="s">
        <v>67</v>
      </c>
      <c r="C33" s="117" t="s">
        <v>112</v>
      </c>
      <c r="D33" s="117" t="s">
        <v>106</v>
      </c>
      <c r="E33" s="117" t="s">
        <v>113</v>
      </c>
      <c r="F33" s="114"/>
      <c r="G33" s="114"/>
    </row>
    <row r="34">
      <c r="A34" s="116" t="s">
        <v>114</v>
      </c>
      <c r="B34" s="116" t="s">
        <v>100</v>
      </c>
      <c r="C34" s="117" t="s">
        <v>115</v>
      </c>
      <c r="D34" s="117" t="s">
        <v>116</v>
      </c>
      <c r="E34" s="117" t="s">
        <v>115</v>
      </c>
      <c r="F34" s="114"/>
      <c r="G34" s="114"/>
    </row>
    <row r="35">
      <c r="A35" s="118"/>
      <c r="B35" s="118"/>
      <c r="C35" s="118"/>
      <c r="D35" s="115" t="s">
        <v>20</v>
      </c>
      <c r="E35" s="115" t="s">
        <v>117</v>
      </c>
      <c r="F35" s="114"/>
      <c r="G35" s="114"/>
    </row>
    <row r="36">
      <c r="A36" s="114"/>
      <c r="B36" s="114"/>
      <c r="C36" s="114"/>
      <c r="D36" s="114"/>
      <c r="E36" s="114"/>
      <c r="F36" s="114"/>
      <c r="G36" s="114"/>
    </row>
    <row r="37">
      <c r="A37" s="114"/>
      <c r="B37" s="114"/>
      <c r="C37" s="114"/>
      <c r="D37" s="114"/>
      <c r="E37" s="114"/>
      <c r="F37" s="114"/>
      <c r="G37" s="114"/>
    </row>
    <row r="38">
      <c r="A38" s="113" t="s">
        <v>118</v>
      </c>
      <c r="B38" s="39"/>
      <c r="C38" s="39"/>
      <c r="D38" s="39"/>
      <c r="E38" s="8"/>
      <c r="F38" s="114"/>
      <c r="G38" s="114"/>
    </row>
    <row r="39">
      <c r="A39" s="115" t="s">
        <v>62</v>
      </c>
      <c r="B39" s="115" t="s">
        <v>63</v>
      </c>
      <c r="C39" s="115" t="s">
        <v>64</v>
      </c>
      <c r="D39" s="115" t="s">
        <v>65</v>
      </c>
      <c r="E39" s="115" t="s">
        <v>39</v>
      </c>
      <c r="F39" s="114"/>
      <c r="G39" s="114"/>
    </row>
    <row r="40">
      <c r="A40" s="116" t="s">
        <v>119</v>
      </c>
      <c r="B40" s="116" t="s">
        <v>120</v>
      </c>
      <c r="C40" s="117" t="s">
        <v>121</v>
      </c>
      <c r="D40" s="117" t="s">
        <v>122</v>
      </c>
      <c r="E40" s="117" t="s">
        <v>123</v>
      </c>
      <c r="F40" s="114"/>
      <c r="G40" s="114"/>
    </row>
    <row r="41">
      <c r="A41" s="116" t="s">
        <v>124</v>
      </c>
      <c r="B41" s="116" t="s">
        <v>125</v>
      </c>
      <c r="C41" s="117" t="s">
        <v>126</v>
      </c>
      <c r="D41" s="117" t="s">
        <v>127</v>
      </c>
      <c r="E41" s="117" t="s">
        <v>128</v>
      </c>
      <c r="F41" s="114"/>
      <c r="G41" s="114"/>
    </row>
    <row r="42">
      <c r="A42" s="116" t="s">
        <v>129</v>
      </c>
      <c r="B42" s="116" t="s">
        <v>125</v>
      </c>
      <c r="C42" s="117" t="s">
        <v>130</v>
      </c>
      <c r="D42" s="117" t="s">
        <v>131</v>
      </c>
      <c r="E42" s="117" t="s">
        <v>132</v>
      </c>
      <c r="F42" s="114"/>
      <c r="G42" s="114"/>
    </row>
    <row r="43">
      <c r="A43" s="116" t="s">
        <v>133</v>
      </c>
      <c r="B43" s="116" t="s">
        <v>90</v>
      </c>
      <c r="C43" s="117" t="s">
        <v>134</v>
      </c>
      <c r="D43" s="117" t="s">
        <v>135</v>
      </c>
      <c r="E43" s="117" t="s">
        <v>136</v>
      </c>
      <c r="F43" s="114"/>
      <c r="G43" s="114"/>
    </row>
    <row r="44">
      <c r="A44" s="116" t="s">
        <v>137</v>
      </c>
      <c r="B44" s="116" t="s">
        <v>67</v>
      </c>
      <c r="C44" s="117" t="s">
        <v>138</v>
      </c>
      <c r="D44" s="117" t="s">
        <v>139</v>
      </c>
      <c r="E44" s="117" t="s">
        <v>140</v>
      </c>
      <c r="F44" s="114"/>
      <c r="G44" s="114"/>
    </row>
    <row r="45">
      <c r="A45" s="116" t="s">
        <v>141</v>
      </c>
      <c r="B45" s="116" t="s">
        <v>90</v>
      </c>
      <c r="C45" s="117" t="s">
        <v>142</v>
      </c>
      <c r="D45" s="117" t="s">
        <v>122</v>
      </c>
      <c r="E45" s="117" t="s">
        <v>143</v>
      </c>
      <c r="F45" s="114"/>
      <c r="G45" s="114"/>
    </row>
    <row r="46">
      <c r="A46" s="116" t="s">
        <v>144</v>
      </c>
      <c r="B46" s="116" t="s">
        <v>90</v>
      </c>
      <c r="C46" s="117" t="s">
        <v>145</v>
      </c>
      <c r="D46" s="117" t="s">
        <v>102</v>
      </c>
      <c r="E46" s="117" t="s">
        <v>146</v>
      </c>
      <c r="F46" s="114"/>
      <c r="G46" s="114"/>
    </row>
    <row r="47">
      <c r="A47" s="116" t="s">
        <v>147</v>
      </c>
      <c r="B47" s="116" t="s">
        <v>148</v>
      </c>
      <c r="C47" s="117" t="s">
        <v>149</v>
      </c>
      <c r="D47" s="117" t="s">
        <v>150</v>
      </c>
      <c r="E47" s="117" t="s">
        <v>151</v>
      </c>
      <c r="F47" s="114"/>
      <c r="G47" s="114"/>
    </row>
    <row r="48">
      <c r="A48" s="118"/>
      <c r="B48" s="118"/>
      <c r="C48" s="118"/>
      <c r="D48" s="115" t="s">
        <v>20</v>
      </c>
      <c r="E48" s="115" t="s">
        <v>152</v>
      </c>
      <c r="F48" s="114"/>
      <c r="G48" s="114"/>
    </row>
    <row r="49">
      <c r="A49" s="114"/>
      <c r="B49" s="114"/>
      <c r="C49" s="114"/>
      <c r="D49" s="114"/>
      <c r="E49" s="114"/>
      <c r="F49" s="114"/>
      <c r="G49" s="114"/>
    </row>
    <row r="50">
      <c r="A50" s="114"/>
      <c r="B50" s="114"/>
      <c r="C50" s="114"/>
      <c r="D50" s="114"/>
      <c r="E50" s="114"/>
      <c r="F50" s="114"/>
      <c r="G50" s="114"/>
    </row>
    <row r="51">
      <c r="A51" s="113" t="s">
        <v>153</v>
      </c>
      <c r="B51" s="39"/>
      <c r="C51" s="39"/>
      <c r="D51" s="39"/>
      <c r="E51" s="8"/>
      <c r="F51" s="114"/>
      <c r="G51" s="114"/>
    </row>
    <row r="52">
      <c r="A52" s="115" t="s">
        <v>62</v>
      </c>
      <c r="B52" s="115" t="s">
        <v>63</v>
      </c>
      <c r="C52" s="115" t="s">
        <v>64</v>
      </c>
      <c r="D52" s="115" t="s">
        <v>65</v>
      </c>
      <c r="E52" s="115" t="s">
        <v>39</v>
      </c>
      <c r="F52" s="114"/>
      <c r="G52" s="114"/>
    </row>
    <row r="53">
      <c r="A53" s="116" t="s">
        <v>154</v>
      </c>
      <c r="B53" s="116" t="s">
        <v>100</v>
      </c>
      <c r="C53" s="117" t="s">
        <v>155</v>
      </c>
      <c r="D53" s="117" t="s">
        <v>156</v>
      </c>
      <c r="E53" s="117" t="s">
        <v>157</v>
      </c>
      <c r="F53" s="114"/>
      <c r="G53" s="114"/>
    </row>
    <row r="54">
      <c r="A54" s="116" t="s">
        <v>158</v>
      </c>
      <c r="B54" s="116" t="s">
        <v>100</v>
      </c>
      <c r="C54" s="117" t="s">
        <v>159</v>
      </c>
      <c r="D54" s="117" t="s">
        <v>160</v>
      </c>
      <c r="E54" s="117" t="s">
        <v>161</v>
      </c>
      <c r="F54" s="114"/>
      <c r="G54" s="114"/>
    </row>
    <row r="55">
      <c r="A55" s="118"/>
      <c r="B55" s="118"/>
      <c r="C55" s="118"/>
      <c r="D55" s="115" t="s">
        <v>20</v>
      </c>
      <c r="E55" s="115" t="s">
        <v>162</v>
      </c>
      <c r="F55" s="114"/>
      <c r="G55" s="114"/>
    </row>
    <row r="56">
      <c r="A56" s="114"/>
      <c r="B56" s="114"/>
      <c r="C56" s="114"/>
      <c r="D56" s="114"/>
      <c r="E56" s="114"/>
      <c r="F56" s="114"/>
      <c r="G56" s="114"/>
    </row>
    <row r="57">
      <c r="A57" s="114"/>
      <c r="B57" s="114"/>
      <c r="C57" s="114"/>
      <c r="D57" s="114"/>
      <c r="E57" s="114"/>
      <c r="F57" s="114"/>
      <c r="G57" s="114"/>
    </row>
    <row r="58">
      <c r="A58" s="115" t="s">
        <v>163</v>
      </c>
      <c r="B58" s="113" t="s">
        <v>164</v>
      </c>
      <c r="C58" s="8"/>
      <c r="D58" s="114"/>
      <c r="E58" s="114"/>
      <c r="F58" s="114"/>
      <c r="G58" s="114"/>
    </row>
    <row r="59">
      <c r="A59" s="117" t="s">
        <v>61</v>
      </c>
      <c r="B59" s="119" t="s">
        <v>97</v>
      </c>
      <c r="C59" s="8"/>
      <c r="D59" s="114"/>
      <c r="E59" s="114"/>
      <c r="F59" s="114"/>
      <c r="G59" s="114"/>
    </row>
    <row r="60">
      <c r="A60" s="117" t="s">
        <v>98</v>
      </c>
      <c r="B60" s="119" t="s">
        <v>117</v>
      </c>
      <c r="C60" s="8"/>
      <c r="D60" s="114"/>
      <c r="E60" s="114"/>
      <c r="F60" s="114"/>
      <c r="G60" s="114"/>
    </row>
    <row r="61">
      <c r="A61" s="117" t="s">
        <v>118</v>
      </c>
      <c r="B61" s="119" t="s">
        <v>152</v>
      </c>
      <c r="C61" s="8"/>
      <c r="D61" s="114"/>
      <c r="E61" s="114"/>
      <c r="F61" s="114"/>
      <c r="G61" s="114"/>
    </row>
    <row r="62">
      <c r="A62" s="117" t="s">
        <v>153</v>
      </c>
      <c r="B62" s="119" t="s">
        <v>162</v>
      </c>
      <c r="C62" s="8"/>
      <c r="D62" s="114"/>
      <c r="E62" s="114"/>
      <c r="F62" s="114"/>
      <c r="G62" s="114"/>
    </row>
    <row r="63">
      <c r="A63" s="115" t="s">
        <v>20</v>
      </c>
      <c r="B63" s="113" t="s">
        <v>165</v>
      </c>
      <c r="C63" s="8"/>
      <c r="D63" s="114"/>
      <c r="E63" s="114"/>
      <c r="F63" s="114"/>
      <c r="G63" s="114"/>
    </row>
    <row r="64">
      <c r="A64" s="114"/>
      <c r="B64" s="114"/>
      <c r="C64" s="114"/>
      <c r="D64" s="114"/>
      <c r="E64" s="114"/>
      <c r="F64" s="114"/>
      <c r="G64" s="114"/>
    </row>
    <row r="65">
      <c r="A65" s="114"/>
      <c r="B65" s="114"/>
      <c r="C65" s="114"/>
      <c r="D65" s="114"/>
      <c r="E65" s="114"/>
      <c r="F65" s="114"/>
      <c r="G65" s="114"/>
    </row>
    <row r="66">
      <c r="A66" s="113" t="s">
        <v>47</v>
      </c>
      <c r="B66" s="39"/>
      <c r="C66" s="39"/>
      <c r="D66" s="39"/>
      <c r="E66" s="39"/>
      <c r="F66" s="8"/>
      <c r="G66" s="114"/>
    </row>
    <row r="67">
      <c r="A67" s="115" t="s">
        <v>62</v>
      </c>
      <c r="B67" s="115" t="s">
        <v>166</v>
      </c>
      <c r="C67" s="115" t="s">
        <v>63</v>
      </c>
      <c r="D67" s="115" t="s">
        <v>64</v>
      </c>
      <c r="E67" s="115" t="s">
        <v>65</v>
      </c>
      <c r="F67" s="115" t="s">
        <v>39</v>
      </c>
      <c r="G67" s="114"/>
    </row>
    <row r="68">
      <c r="A68" s="116" t="s">
        <v>167</v>
      </c>
      <c r="B68" s="117" t="s">
        <v>168</v>
      </c>
      <c r="C68" s="116" t="s">
        <v>169</v>
      </c>
      <c r="D68" s="117" t="s">
        <v>170</v>
      </c>
      <c r="E68" s="117" t="s">
        <v>160</v>
      </c>
      <c r="F68" s="117" t="s">
        <v>171</v>
      </c>
      <c r="G68" s="114"/>
    </row>
    <row r="69">
      <c r="A69" s="116" t="s">
        <v>172</v>
      </c>
      <c r="B69" s="117" t="s">
        <v>173</v>
      </c>
      <c r="C69" s="116" t="s">
        <v>174</v>
      </c>
      <c r="D69" s="117" t="s">
        <v>175</v>
      </c>
      <c r="E69" s="117" t="s">
        <v>176</v>
      </c>
      <c r="F69" s="117" t="s">
        <v>175</v>
      </c>
      <c r="G69" s="114"/>
    </row>
    <row r="70">
      <c r="A70" s="116" t="s">
        <v>177</v>
      </c>
      <c r="B70" s="117" t="s">
        <v>173</v>
      </c>
      <c r="C70" s="116" t="s">
        <v>178</v>
      </c>
      <c r="D70" s="117" t="s">
        <v>179</v>
      </c>
      <c r="E70" s="117" t="s">
        <v>180</v>
      </c>
      <c r="F70" s="117" t="s">
        <v>181</v>
      </c>
      <c r="G70" s="114"/>
    </row>
    <row r="71">
      <c r="A71" s="116" t="s">
        <v>182</v>
      </c>
      <c r="B71" s="117" t="s">
        <v>183</v>
      </c>
      <c r="C71" s="116" t="s">
        <v>174</v>
      </c>
      <c r="D71" s="117" t="s">
        <v>184</v>
      </c>
      <c r="E71" s="117" t="s">
        <v>176</v>
      </c>
      <c r="F71" s="117" t="s">
        <v>184</v>
      </c>
      <c r="G71" s="114"/>
    </row>
    <row r="72">
      <c r="A72" s="116" t="s">
        <v>185</v>
      </c>
      <c r="B72" s="117" t="s">
        <v>183</v>
      </c>
      <c r="C72" s="116" t="s">
        <v>67</v>
      </c>
      <c r="D72" s="117" t="s">
        <v>186</v>
      </c>
      <c r="E72" s="117" t="s">
        <v>176</v>
      </c>
      <c r="F72" s="117" t="s">
        <v>186</v>
      </c>
      <c r="G72" s="114"/>
    </row>
    <row r="73">
      <c r="A73" s="116" t="s">
        <v>187</v>
      </c>
      <c r="B73" s="117" t="s">
        <v>183</v>
      </c>
      <c r="C73" s="116" t="s">
        <v>67</v>
      </c>
      <c r="D73" s="117" t="s">
        <v>188</v>
      </c>
      <c r="E73" s="117" t="s">
        <v>160</v>
      </c>
      <c r="F73" s="117" t="s">
        <v>189</v>
      </c>
      <c r="G73" s="114"/>
    </row>
    <row r="74">
      <c r="A74" s="116" t="s">
        <v>190</v>
      </c>
      <c r="B74" s="117" t="s">
        <v>183</v>
      </c>
      <c r="C74" s="116" t="s">
        <v>67</v>
      </c>
      <c r="D74" s="117" t="s">
        <v>191</v>
      </c>
      <c r="E74" s="117" t="s">
        <v>176</v>
      </c>
      <c r="F74" s="117" t="s">
        <v>191</v>
      </c>
      <c r="G74" s="114"/>
    </row>
    <row r="75">
      <c r="A75" s="116" t="s">
        <v>192</v>
      </c>
      <c r="B75" s="117" t="s">
        <v>183</v>
      </c>
      <c r="C75" s="116" t="s">
        <v>67</v>
      </c>
      <c r="D75" s="117" t="s">
        <v>193</v>
      </c>
      <c r="E75" s="117" t="s">
        <v>194</v>
      </c>
      <c r="F75" s="117" t="s">
        <v>195</v>
      </c>
      <c r="G75" s="114"/>
    </row>
    <row r="76">
      <c r="A76" s="116" t="s">
        <v>196</v>
      </c>
      <c r="B76" s="117" t="s">
        <v>183</v>
      </c>
      <c r="C76" s="116" t="s">
        <v>197</v>
      </c>
      <c r="D76" s="117" t="s">
        <v>198</v>
      </c>
      <c r="E76" s="117" t="s">
        <v>199</v>
      </c>
      <c r="F76" s="117" t="s">
        <v>198</v>
      </c>
      <c r="G76" s="114"/>
    </row>
    <row r="77">
      <c r="A77" s="116" t="s">
        <v>200</v>
      </c>
      <c r="B77" s="117" t="s">
        <v>183</v>
      </c>
      <c r="C77" s="116" t="s">
        <v>67</v>
      </c>
      <c r="D77" s="117" t="s">
        <v>201</v>
      </c>
      <c r="E77" s="117" t="s">
        <v>202</v>
      </c>
      <c r="F77" s="117" t="s">
        <v>201</v>
      </c>
      <c r="G77" s="114"/>
    </row>
    <row r="78">
      <c r="A78" s="116" t="s">
        <v>203</v>
      </c>
      <c r="B78" s="117" t="s">
        <v>204</v>
      </c>
      <c r="C78" s="116" t="s">
        <v>90</v>
      </c>
      <c r="D78" s="117" t="s">
        <v>205</v>
      </c>
      <c r="E78" s="117" t="s">
        <v>160</v>
      </c>
      <c r="F78" s="117" t="s">
        <v>206</v>
      </c>
      <c r="G78" s="114"/>
    </row>
    <row r="79">
      <c r="A79" s="116" t="s">
        <v>207</v>
      </c>
      <c r="B79" s="117" t="s">
        <v>204</v>
      </c>
      <c r="C79" s="116" t="s">
        <v>67</v>
      </c>
      <c r="D79" s="117" t="s">
        <v>208</v>
      </c>
      <c r="E79" s="117" t="s">
        <v>209</v>
      </c>
      <c r="F79" s="117" t="s">
        <v>210</v>
      </c>
      <c r="G79" s="114"/>
    </row>
    <row r="80">
      <c r="A80" s="116" t="s">
        <v>211</v>
      </c>
      <c r="B80" s="117" t="s">
        <v>204</v>
      </c>
      <c r="C80" s="116" t="s">
        <v>67</v>
      </c>
      <c r="D80" s="117" t="s">
        <v>212</v>
      </c>
      <c r="E80" s="117" t="s">
        <v>160</v>
      </c>
      <c r="F80" s="117" t="s">
        <v>213</v>
      </c>
      <c r="G80" s="114"/>
    </row>
    <row r="81">
      <c r="A81" s="118"/>
      <c r="B81" s="118"/>
      <c r="C81" s="118"/>
      <c r="D81" s="118"/>
      <c r="E81" s="115" t="s">
        <v>20</v>
      </c>
      <c r="F81" s="115" t="s">
        <v>214</v>
      </c>
      <c r="G81" s="114"/>
    </row>
    <row r="82">
      <c r="A82" s="114"/>
      <c r="B82" s="114"/>
      <c r="C82" s="114"/>
      <c r="D82" s="114"/>
      <c r="E82" s="114"/>
      <c r="F82" s="114"/>
      <c r="G82" s="114"/>
    </row>
    <row r="83">
      <c r="A83" s="114"/>
      <c r="B83" s="114"/>
      <c r="C83" s="114"/>
      <c r="D83" s="114"/>
      <c r="E83" s="114"/>
      <c r="F83" s="114"/>
      <c r="G83" s="114"/>
    </row>
    <row r="84">
      <c r="A84" s="113" t="s">
        <v>215</v>
      </c>
      <c r="B84" s="39"/>
      <c r="C84" s="39"/>
      <c r="D84" s="39"/>
      <c r="E84" s="8"/>
      <c r="F84" s="114"/>
      <c r="G84" s="114"/>
    </row>
    <row r="85">
      <c r="A85" s="115" t="s">
        <v>62</v>
      </c>
      <c r="B85" s="115" t="s">
        <v>166</v>
      </c>
      <c r="C85" s="115" t="s">
        <v>64</v>
      </c>
      <c r="D85" s="115" t="s">
        <v>65</v>
      </c>
      <c r="E85" s="115" t="s">
        <v>39</v>
      </c>
      <c r="F85" s="114"/>
      <c r="G85" s="114"/>
    </row>
    <row r="86">
      <c r="A86" s="116" t="s">
        <v>216</v>
      </c>
      <c r="B86" s="117" t="s">
        <v>217</v>
      </c>
      <c r="C86" s="117" t="s">
        <v>218</v>
      </c>
      <c r="D86" s="117" t="s">
        <v>176</v>
      </c>
      <c r="E86" s="117" t="s">
        <v>218</v>
      </c>
      <c r="F86" s="114"/>
      <c r="G86" s="114"/>
    </row>
    <row r="87">
      <c r="A87" s="116" t="s">
        <v>219</v>
      </c>
      <c r="B87" s="117" t="s">
        <v>220</v>
      </c>
      <c r="C87" s="117" t="s">
        <v>221</v>
      </c>
      <c r="D87" s="117" t="s">
        <v>160</v>
      </c>
      <c r="E87" s="117" t="s">
        <v>222</v>
      </c>
      <c r="F87" s="114"/>
      <c r="G87" s="114"/>
    </row>
    <row r="88">
      <c r="A88" s="116" t="s">
        <v>223</v>
      </c>
      <c r="B88" s="117" t="s">
        <v>224</v>
      </c>
      <c r="C88" s="117" t="s">
        <v>225</v>
      </c>
      <c r="D88" s="117" t="s">
        <v>127</v>
      </c>
      <c r="E88" s="117" t="s">
        <v>225</v>
      </c>
      <c r="F88" s="114"/>
      <c r="G88" s="114"/>
    </row>
    <row r="89">
      <c r="A89" s="116" t="s">
        <v>226</v>
      </c>
      <c r="B89" s="117" t="s">
        <v>224</v>
      </c>
      <c r="C89" s="117" t="s">
        <v>227</v>
      </c>
      <c r="D89" s="117" t="s">
        <v>194</v>
      </c>
      <c r="E89" s="117" t="s">
        <v>228</v>
      </c>
      <c r="F89" s="114"/>
      <c r="G89" s="114"/>
    </row>
    <row r="90">
      <c r="A90" s="116" t="s">
        <v>229</v>
      </c>
      <c r="B90" s="117" t="s">
        <v>224</v>
      </c>
      <c r="C90" s="117" t="s">
        <v>230</v>
      </c>
      <c r="D90" s="117" t="s">
        <v>180</v>
      </c>
      <c r="E90" s="117" t="s">
        <v>231</v>
      </c>
      <c r="F90" s="114"/>
      <c r="G90" s="114"/>
    </row>
    <row r="91">
      <c r="A91" s="116" t="s">
        <v>232</v>
      </c>
      <c r="B91" s="117" t="s">
        <v>233</v>
      </c>
      <c r="C91" s="117" t="s">
        <v>234</v>
      </c>
      <c r="D91" s="117" t="s">
        <v>160</v>
      </c>
      <c r="E91" s="117" t="s">
        <v>235</v>
      </c>
      <c r="F91" s="114"/>
      <c r="G91" s="114"/>
    </row>
    <row r="92">
      <c r="A92" s="116" t="s">
        <v>236</v>
      </c>
      <c r="B92" s="117" t="s">
        <v>224</v>
      </c>
      <c r="C92" s="117" t="s">
        <v>237</v>
      </c>
      <c r="D92" s="117" t="s">
        <v>176</v>
      </c>
      <c r="E92" s="117" t="s">
        <v>237</v>
      </c>
      <c r="F92" s="114"/>
      <c r="G92" s="114"/>
    </row>
    <row r="93">
      <c r="A93" s="116" t="s">
        <v>238</v>
      </c>
      <c r="B93" s="117" t="s">
        <v>224</v>
      </c>
      <c r="C93" s="117" t="s">
        <v>239</v>
      </c>
      <c r="D93" s="117" t="s">
        <v>176</v>
      </c>
      <c r="E93" s="117" t="s">
        <v>239</v>
      </c>
      <c r="F93" s="114"/>
      <c r="G93" s="114"/>
    </row>
    <row r="94">
      <c r="A94" s="116" t="s">
        <v>240</v>
      </c>
      <c r="B94" s="117" t="s">
        <v>241</v>
      </c>
      <c r="C94" s="117" t="s">
        <v>242</v>
      </c>
      <c r="D94" s="117" t="s">
        <v>106</v>
      </c>
      <c r="E94" s="117" t="s">
        <v>243</v>
      </c>
      <c r="F94" s="114"/>
      <c r="G94" s="114"/>
    </row>
    <row r="95">
      <c r="A95" s="116" t="s">
        <v>244</v>
      </c>
      <c r="B95" s="117" t="s">
        <v>220</v>
      </c>
      <c r="C95" s="117" t="s">
        <v>245</v>
      </c>
      <c r="D95" s="117" t="s">
        <v>176</v>
      </c>
      <c r="E95" s="117" t="s">
        <v>245</v>
      </c>
      <c r="F95" s="114"/>
      <c r="G95" s="114"/>
    </row>
    <row r="96">
      <c r="A96" s="118"/>
      <c r="B96" s="118"/>
      <c r="C96" s="118"/>
      <c r="D96" s="115" t="s">
        <v>20</v>
      </c>
      <c r="E96" s="115" t="s">
        <v>246</v>
      </c>
      <c r="F96" s="114"/>
      <c r="G96" s="114"/>
    </row>
    <row r="97">
      <c r="A97" s="114"/>
      <c r="B97" s="114"/>
      <c r="C97" s="114"/>
      <c r="D97" s="114"/>
      <c r="E97" s="114"/>
      <c r="F97" s="114"/>
      <c r="G97" s="114"/>
    </row>
    <row r="98">
      <c r="A98" s="114"/>
      <c r="B98" s="114"/>
      <c r="C98" s="114"/>
      <c r="D98" s="114"/>
      <c r="E98" s="114"/>
      <c r="F98" s="114"/>
      <c r="G98" s="114"/>
    </row>
    <row r="99">
      <c r="A99" s="113" t="s">
        <v>247</v>
      </c>
      <c r="B99" s="39"/>
      <c r="C99" s="39"/>
      <c r="D99" s="39"/>
      <c r="E99" s="8"/>
      <c r="F99" s="114"/>
      <c r="G99" s="114"/>
    </row>
    <row r="100">
      <c r="A100" s="115" t="s">
        <v>62</v>
      </c>
      <c r="B100" s="115" t="s">
        <v>166</v>
      </c>
      <c r="C100" s="115" t="s">
        <v>64</v>
      </c>
      <c r="D100" s="115" t="s">
        <v>65</v>
      </c>
      <c r="E100" s="115" t="s">
        <v>39</v>
      </c>
      <c r="F100" s="114"/>
      <c r="G100" s="114"/>
    </row>
    <row r="101">
      <c r="A101" s="116" t="s">
        <v>248</v>
      </c>
      <c r="B101" s="117" t="s">
        <v>249</v>
      </c>
      <c r="C101" s="117" t="s">
        <v>250</v>
      </c>
      <c r="D101" s="117" t="s">
        <v>176</v>
      </c>
      <c r="E101" s="117" t="s">
        <v>250</v>
      </c>
      <c r="F101" s="114"/>
      <c r="G101" s="114"/>
    </row>
    <row r="102">
      <c r="A102" s="116" t="s">
        <v>251</v>
      </c>
      <c r="B102" s="117" t="s">
        <v>224</v>
      </c>
      <c r="C102" s="117" t="s">
        <v>252</v>
      </c>
      <c r="D102" s="117" t="s">
        <v>176</v>
      </c>
      <c r="E102" s="117" t="s">
        <v>252</v>
      </c>
      <c r="F102" s="114"/>
      <c r="G102" s="114"/>
    </row>
    <row r="103">
      <c r="A103" s="116" t="s">
        <v>253</v>
      </c>
      <c r="B103" s="117" t="s">
        <v>254</v>
      </c>
      <c r="C103" s="117" t="s">
        <v>255</v>
      </c>
      <c r="D103" s="117" t="s">
        <v>176</v>
      </c>
      <c r="E103" s="117" t="s">
        <v>255</v>
      </c>
      <c r="F103" s="114"/>
      <c r="G103" s="114"/>
    </row>
    <row r="104">
      <c r="A104" s="116" t="s">
        <v>256</v>
      </c>
      <c r="B104" s="117" t="s">
        <v>224</v>
      </c>
      <c r="C104" s="117" t="s">
        <v>237</v>
      </c>
      <c r="D104" s="117" t="s">
        <v>176</v>
      </c>
      <c r="E104" s="117" t="s">
        <v>237</v>
      </c>
      <c r="F104" s="114"/>
      <c r="G104" s="114"/>
    </row>
    <row r="105">
      <c r="A105" s="116" t="s">
        <v>257</v>
      </c>
      <c r="B105" s="117" t="s">
        <v>258</v>
      </c>
      <c r="C105" s="117" t="s">
        <v>259</v>
      </c>
      <c r="D105" s="117" t="s">
        <v>127</v>
      </c>
      <c r="E105" s="117" t="s">
        <v>259</v>
      </c>
      <c r="F105" s="114"/>
      <c r="G105" s="114"/>
    </row>
    <row r="106">
      <c r="A106" s="116" t="s">
        <v>260</v>
      </c>
      <c r="B106" s="117" t="s">
        <v>258</v>
      </c>
      <c r="C106" s="117" t="s">
        <v>261</v>
      </c>
      <c r="D106" s="117" t="s">
        <v>194</v>
      </c>
      <c r="E106" s="117" t="s">
        <v>262</v>
      </c>
      <c r="F106" s="114"/>
      <c r="G106" s="114"/>
    </row>
    <row r="107">
      <c r="A107" s="118"/>
      <c r="B107" s="118"/>
      <c r="C107" s="118"/>
      <c r="D107" s="115" t="s">
        <v>20</v>
      </c>
      <c r="E107" s="115" t="s">
        <v>263</v>
      </c>
      <c r="F107" s="114"/>
      <c r="G107" s="114"/>
    </row>
    <row r="108">
      <c r="A108" s="114"/>
      <c r="B108" s="114"/>
      <c r="C108" s="114"/>
      <c r="D108" s="114"/>
      <c r="E108" s="114"/>
      <c r="F108" s="114"/>
      <c r="G108" s="114"/>
    </row>
    <row r="109">
      <c r="A109" s="114"/>
      <c r="B109" s="114"/>
      <c r="C109" s="114"/>
      <c r="D109" s="114"/>
      <c r="E109" s="114"/>
      <c r="F109" s="114"/>
      <c r="G109" s="114"/>
    </row>
    <row r="110">
      <c r="A110" s="115" t="s">
        <v>163</v>
      </c>
      <c r="B110" s="113" t="s">
        <v>164</v>
      </c>
      <c r="C110" s="8"/>
      <c r="D110" s="114"/>
      <c r="E110" s="114"/>
      <c r="F110" s="114"/>
      <c r="G110" s="114"/>
    </row>
    <row r="111">
      <c r="A111" s="117" t="s">
        <v>90</v>
      </c>
      <c r="B111" s="119" t="s">
        <v>246</v>
      </c>
      <c r="C111" s="8"/>
      <c r="D111" s="114"/>
      <c r="E111" s="114"/>
      <c r="F111" s="114"/>
      <c r="G111" s="114"/>
    </row>
    <row r="112">
      <c r="A112" s="117" t="s">
        <v>67</v>
      </c>
      <c r="B112" s="119" t="s">
        <v>263</v>
      </c>
      <c r="C112" s="8"/>
      <c r="D112" s="114"/>
      <c r="E112" s="114"/>
      <c r="F112" s="114"/>
      <c r="G112" s="114"/>
    </row>
    <row r="113">
      <c r="A113" s="115" t="s">
        <v>20</v>
      </c>
      <c r="B113" s="113" t="s">
        <v>264</v>
      </c>
      <c r="C113" s="8"/>
      <c r="D113" s="114"/>
      <c r="E113" s="114"/>
      <c r="F113" s="114"/>
      <c r="G113" s="114"/>
    </row>
    <row r="114">
      <c r="A114" s="114"/>
      <c r="B114" s="114"/>
      <c r="C114" s="114"/>
      <c r="D114" s="114"/>
      <c r="E114" s="114"/>
      <c r="F114" s="114"/>
      <c r="G114" s="114"/>
    </row>
    <row r="115">
      <c r="A115" s="114"/>
      <c r="B115" s="114"/>
      <c r="C115" s="114"/>
      <c r="D115" s="114"/>
      <c r="E115" s="114"/>
      <c r="F115" s="114"/>
      <c r="G115" s="114"/>
    </row>
    <row r="116">
      <c r="A116" s="120" t="s">
        <v>265</v>
      </c>
      <c r="B116" s="39"/>
      <c r="C116" s="39"/>
      <c r="D116" s="39"/>
      <c r="E116" s="8"/>
      <c r="F116" s="114"/>
      <c r="G116" s="114"/>
    </row>
    <row r="117">
      <c r="A117" s="113" t="s">
        <v>62</v>
      </c>
      <c r="B117" s="8"/>
      <c r="C117" s="115" t="s">
        <v>63</v>
      </c>
      <c r="D117" s="115" t="s">
        <v>65</v>
      </c>
      <c r="E117" s="115" t="s">
        <v>39</v>
      </c>
      <c r="F117" s="114"/>
      <c r="G117" s="114"/>
    </row>
    <row r="118">
      <c r="A118" s="121" t="s">
        <v>266</v>
      </c>
      <c r="B118" s="8"/>
      <c r="C118" s="116" t="s">
        <v>90</v>
      </c>
      <c r="D118" s="117">
        <v>4.0</v>
      </c>
      <c r="E118" s="117" t="s">
        <v>267</v>
      </c>
      <c r="F118" s="114"/>
      <c r="G118" s="114"/>
    </row>
    <row r="119">
      <c r="A119" s="121" t="s">
        <v>268</v>
      </c>
      <c r="B119" s="8"/>
      <c r="C119" s="116" t="s">
        <v>67</v>
      </c>
      <c r="D119" s="117">
        <v>56.0</v>
      </c>
      <c r="E119" s="117" t="s">
        <v>269</v>
      </c>
      <c r="F119" s="114"/>
      <c r="G119" s="114"/>
    </row>
    <row r="120">
      <c r="A120" s="121" t="s">
        <v>270</v>
      </c>
      <c r="B120" s="8"/>
      <c r="C120" s="116" t="s">
        <v>90</v>
      </c>
      <c r="D120" s="117">
        <v>2.0</v>
      </c>
      <c r="E120" s="117" t="s">
        <v>271</v>
      </c>
      <c r="F120" s="114"/>
      <c r="G120" s="114"/>
    </row>
    <row r="121">
      <c r="A121" s="121" t="s">
        <v>272</v>
      </c>
      <c r="B121" s="8"/>
      <c r="C121" s="116" t="s">
        <v>100</v>
      </c>
      <c r="D121" s="117">
        <v>16.0</v>
      </c>
      <c r="E121" s="117" t="s">
        <v>273</v>
      </c>
      <c r="F121" s="114"/>
      <c r="G121" s="114"/>
    </row>
    <row r="122">
      <c r="A122" s="121" t="s">
        <v>274</v>
      </c>
      <c r="B122" s="8"/>
      <c r="C122" s="116" t="s">
        <v>100</v>
      </c>
      <c r="D122" s="117">
        <v>17.0</v>
      </c>
      <c r="E122" s="117" t="s">
        <v>275</v>
      </c>
      <c r="F122" s="114"/>
      <c r="G122" s="114"/>
    </row>
    <row r="123">
      <c r="A123" s="121" t="s">
        <v>276</v>
      </c>
      <c r="B123" s="8"/>
      <c r="C123" s="116" t="s">
        <v>90</v>
      </c>
      <c r="D123" s="117">
        <v>18.0</v>
      </c>
      <c r="E123" s="117" t="s">
        <v>277</v>
      </c>
      <c r="F123" s="114"/>
      <c r="G123" s="114"/>
    </row>
    <row r="124">
      <c r="A124" s="121" t="s">
        <v>278</v>
      </c>
      <c r="B124" s="8"/>
      <c r="C124" s="116" t="s">
        <v>90</v>
      </c>
      <c r="D124" s="117">
        <v>8.0</v>
      </c>
      <c r="E124" s="117" t="s">
        <v>279</v>
      </c>
      <c r="F124" s="114"/>
      <c r="G124" s="114"/>
    </row>
    <row r="125">
      <c r="A125" s="121" t="s">
        <v>280</v>
      </c>
      <c r="B125" s="8"/>
      <c r="C125" s="116" t="s">
        <v>174</v>
      </c>
      <c r="D125" s="117">
        <v>22.0</v>
      </c>
      <c r="E125" s="117" t="s">
        <v>281</v>
      </c>
      <c r="F125" s="114"/>
      <c r="G125" s="114"/>
    </row>
    <row r="126">
      <c r="A126" s="121" t="s">
        <v>282</v>
      </c>
      <c r="B126" s="8"/>
      <c r="C126" s="116" t="s">
        <v>100</v>
      </c>
      <c r="D126" s="117">
        <v>1.0</v>
      </c>
      <c r="E126" s="117" t="s">
        <v>283</v>
      </c>
      <c r="F126" s="114"/>
      <c r="G126" s="114"/>
    </row>
    <row r="127">
      <c r="A127" s="121" t="s">
        <v>284</v>
      </c>
      <c r="B127" s="8"/>
      <c r="C127" s="116" t="s">
        <v>285</v>
      </c>
      <c r="D127" s="117">
        <v>33.0</v>
      </c>
      <c r="E127" s="117" t="s">
        <v>286</v>
      </c>
      <c r="F127" s="114"/>
      <c r="G127" s="114"/>
    </row>
    <row r="128">
      <c r="A128" s="121" t="s">
        <v>287</v>
      </c>
      <c r="B128" s="8"/>
      <c r="C128" s="116" t="s">
        <v>100</v>
      </c>
      <c r="D128" s="117">
        <v>12.0</v>
      </c>
      <c r="E128" s="117" t="s">
        <v>288</v>
      </c>
      <c r="F128" s="114"/>
      <c r="G128" s="114"/>
    </row>
    <row r="129">
      <c r="A129" s="121" t="s">
        <v>289</v>
      </c>
      <c r="B129" s="8"/>
      <c r="C129" s="116" t="s">
        <v>100</v>
      </c>
      <c r="D129" s="117">
        <v>5.0</v>
      </c>
      <c r="E129" s="117" t="s">
        <v>290</v>
      </c>
      <c r="F129" s="114"/>
      <c r="G129" s="114"/>
    </row>
    <row r="130">
      <c r="A130" s="121" t="s">
        <v>291</v>
      </c>
      <c r="B130" s="8"/>
      <c r="C130" s="116" t="s">
        <v>197</v>
      </c>
      <c r="D130" s="117">
        <v>8.0</v>
      </c>
      <c r="E130" s="117" t="s">
        <v>292</v>
      </c>
      <c r="F130" s="114"/>
      <c r="G130" s="114"/>
    </row>
    <row r="131">
      <c r="A131" s="121" t="s">
        <v>293</v>
      </c>
      <c r="B131" s="8"/>
      <c r="C131" s="116" t="s">
        <v>125</v>
      </c>
      <c r="D131" s="117">
        <v>30.0</v>
      </c>
      <c r="E131" s="117" t="s">
        <v>294</v>
      </c>
      <c r="F131" s="114"/>
      <c r="G131" s="114"/>
    </row>
    <row r="132">
      <c r="A132" s="121" t="s">
        <v>295</v>
      </c>
      <c r="B132" s="8"/>
      <c r="C132" s="116" t="s">
        <v>90</v>
      </c>
      <c r="D132" s="117">
        <v>20.0</v>
      </c>
      <c r="E132" s="117" t="s">
        <v>296</v>
      </c>
      <c r="F132" s="114"/>
      <c r="G132" s="114"/>
    </row>
    <row r="133">
      <c r="A133" s="121" t="s">
        <v>297</v>
      </c>
      <c r="B133" s="8"/>
      <c r="C133" s="116" t="s">
        <v>67</v>
      </c>
      <c r="D133" s="117">
        <v>4.0</v>
      </c>
      <c r="E133" s="117" t="s">
        <v>298</v>
      </c>
      <c r="F133" s="114"/>
      <c r="G133" s="114"/>
    </row>
    <row r="134">
      <c r="A134" s="121" t="s">
        <v>299</v>
      </c>
      <c r="B134" s="8"/>
      <c r="C134" s="116" t="s">
        <v>90</v>
      </c>
      <c r="D134" s="117">
        <v>8.0</v>
      </c>
      <c r="E134" s="117" t="s">
        <v>300</v>
      </c>
      <c r="F134" s="114"/>
      <c r="G134" s="114"/>
    </row>
    <row r="135">
      <c r="A135" s="121" t="s">
        <v>301</v>
      </c>
      <c r="B135" s="8"/>
      <c r="C135" s="116" t="s">
        <v>90</v>
      </c>
      <c r="D135" s="117">
        <v>8.0</v>
      </c>
      <c r="E135" s="117" t="s">
        <v>302</v>
      </c>
      <c r="F135" s="114"/>
      <c r="G135" s="114"/>
    </row>
    <row r="136">
      <c r="A136" s="121" t="s">
        <v>303</v>
      </c>
      <c r="B136" s="8"/>
      <c r="C136" s="116" t="s">
        <v>174</v>
      </c>
      <c r="D136" s="117">
        <v>4.0</v>
      </c>
      <c r="E136" s="117" t="s">
        <v>304</v>
      </c>
      <c r="F136" s="114"/>
      <c r="G136" s="114"/>
    </row>
    <row r="137">
      <c r="A137" s="121" t="s">
        <v>305</v>
      </c>
      <c r="B137" s="8"/>
      <c r="C137" s="116" t="s">
        <v>125</v>
      </c>
      <c r="D137" s="117">
        <v>20.0</v>
      </c>
      <c r="E137" s="117" t="s">
        <v>306</v>
      </c>
      <c r="F137" s="114"/>
      <c r="G137" s="114"/>
    </row>
    <row r="138">
      <c r="A138" s="121" t="s">
        <v>307</v>
      </c>
      <c r="B138" s="8"/>
      <c r="C138" s="116" t="s">
        <v>67</v>
      </c>
      <c r="D138" s="117">
        <v>8.0</v>
      </c>
      <c r="E138" s="117" t="s">
        <v>308</v>
      </c>
      <c r="F138" s="114"/>
      <c r="G138" s="114"/>
    </row>
    <row r="139">
      <c r="A139" s="121" t="s">
        <v>309</v>
      </c>
      <c r="B139" s="8"/>
      <c r="C139" s="116" t="s">
        <v>90</v>
      </c>
      <c r="D139" s="117">
        <v>2.0</v>
      </c>
      <c r="E139" s="117" t="s">
        <v>310</v>
      </c>
      <c r="F139" s="114"/>
      <c r="G139" s="114"/>
    </row>
    <row r="140">
      <c r="A140" s="122"/>
      <c r="B140" s="63"/>
      <c r="C140" s="118"/>
      <c r="D140" s="115" t="s">
        <v>20</v>
      </c>
      <c r="E140" s="115" t="s">
        <v>311</v>
      </c>
      <c r="F140" s="114"/>
      <c r="G140" s="114"/>
    </row>
    <row r="141">
      <c r="A141" s="114"/>
      <c r="B141" s="114"/>
      <c r="C141" s="114"/>
      <c r="D141" s="114"/>
      <c r="E141" s="114"/>
      <c r="F141" s="114"/>
      <c r="G141" s="114"/>
    </row>
    <row r="142">
      <c r="A142" s="114"/>
      <c r="B142" s="114"/>
      <c r="C142" s="114"/>
      <c r="D142" s="114"/>
      <c r="E142" s="114"/>
      <c r="F142" s="114"/>
      <c r="G142" s="114"/>
    </row>
    <row r="143">
      <c r="A143" s="120" t="s">
        <v>312</v>
      </c>
      <c r="B143" s="39"/>
      <c r="C143" s="39"/>
      <c r="D143" s="39"/>
      <c r="E143" s="8"/>
      <c r="F143" s="114"/>
      <c r="G143" s="114"/>
    </row>
    <row r="144">
      <c r="A144" s="113" t="s">
        <v>62</v>
      </c>
      <c r="B144" s="8"/>
      <c r="C144" s="115" t="s">
        <v>63</v>
      </c>
      <c r="D144" s="115" t="s">
        <v>65</v>
      </c>
      <c r="E144" s="115" t="s">
        <v>39</v>
      </c>
      <c r="F144" s="114"/>
      <c r="G144" s="114"/>
    </row>
    <row r="145">
      <c r="A145" s="121" t="s">
        <v>313</v>
      </c>
      <c r="B145" s="8"/>
      <c r="C145" s="116" t="s">
        <v>67</v>
      </c>
      <c r="D145" s="117">
        <v>56.0</v>
      </c>
      <c r="E145" s="117" t="s">
        <v>314</v>
      </c>
      <c r="F145" s="114"/>
      <c r="G145" s="114"/>
    </row>
    <row r="146">
      <c r="A146" s="121" t="s">
        <v>315</v>
      </c>
      <c r="B146" s="8"/>
      <c r="C146" s="116" t="s">
        <v>120</v>
      </c>
      <c r="D146" s="117">
        <v>61.0</v>
      </c>
      <c r="E146" s="117" t="s">
        <v>316</v>
      </c>
      <c r="F146" s="114"/>
      <c r="G146" s="114"/>
    </row>
    <row r="147">
      <c r="A147" s="121" t="s">
        <v>317</v>
      </c>
      <c r="B147" s="8"/>
      <c r="C147" s="116" t="s">
        <v>87</v>
      </c>
      <c r="D147" s="117">
        <v>54.0</v>
      </c>
      <c r="E147" s="117" t="s">
        <v>318</v>
      </c>
      <c r="F147" s="114"/>
      <c r="G147" s="114"/>
    </row>
    <row r="148">
      <c r="A148" s="121" t="s">
        <v>319</v>
      </c>
      <c r="B148" s="8"/>
      <c r="C148" s="116" t="s">
        <v>285</v>
      </c>
      <c r="D148" s="117">
        <v>54.0</v>
      </c>
      <c r="E148" s="117" t="s">
        <v>320</v>
      </c>
      <c r="F148" s="114"/>
      <c r="G148" s="114"/>
    </row>
    <row r="149">
      <c r="A149" s="121" t="s">
        <v>321</v>
      </c>
      <c r="B149" s="8"/>
      <c r="C149" s="116" t="s">
        <v>125</v>
      </c>
      <c r="D149" s="117">
        <v>20.0</v>
      </c>
      <c r="E149" s="117" t="s">
        <v>322</v>
      </c>
      <c r="F149" s="114"/>
      <c r="G149" s="114"/>
    </row>
    <row r="150">
      <c r="A150" s="121" t="s">
        <v>323</v>
      </c>
      <c r="B150" s="8"/>
      <c r="C150" s="116" t="s">
        <v>125</v>
      </c>
      <c r="D150" s="117">
        <v>10.0</v>
      </c>
      <c r="E150" s="117" t="s">
        <v>324</v>
      </c>
      <c r="F150" s="114"/>
      <c r="G150" s="114"/>
    </row>
    <row r="151">
      <c r="A151" s="122"/>
      <c r="B151" s="63"/>
      <c r="C151" s="118"/>
      <c r="D151" s="115" t="s">
        <v>20</v>
      </c>
      <c r="E151" s="115" t="s">
        <v>325</v>
      </c>
      <c r="F151" s="114"/>
      <c r="G151" s="114"/>
    </row>
    <row r="152">
      <c r="A152" s="114"/>
      <c r="B152" s="114"/>
      <c r="C152" s="114"/>
      <c r="D152" s="114"/>
      <c r="E152" s="114"/>
      <c r="F152" s="114"/>
      <c r="G152" s="114"/>
    </row>
    <row r="153">
      <c r="A153" s="114"/>
      <c r="B153" s="114"/>
      <c r="C153" s="114"/>
      <c r="D153" s="114"/>
      <c r="E153" s="114"/>
      <c r="F153" s="114"/>
      <c r="G153" s="114"/>
    </row>
    <row r="154">
      <c r="A154" s="115" t="s">
        <v>163</v>
      </c>
      <c r="B154" s="113" t="s">
        <v>164</v>
      </c>
      <c r="C154" s="8"/>
      <c r="D154" s="114"/>
      <c r="E154" s="114"/>
      <c r="F154" s="114"/>
      <c r="G154" s="114"/>
    </row>
    <row r="155">
      <c r="A155" s="117" t="s">
        <v>265</v>
      </c>
      <c r="B155" s="119" t="s">
        <v>326</v>
      </c>
      <c r="C155" s="8"/>
      <c r="D155" s="114"/>
      <c r="E155" s="114"/>
      <c r="F155" s="114"/>
      <c r="G155" s="114"/>
    </row>
    <row r="156">
      <c r="A156" s="117" t="s">
        <v>312</v>
      </c>
      <c r="B156" s="119" t="s">
        <v>327</v>
      </c>
      <c r="C156" s="8"/>
      <c r="D156" s="114"/>
      <c r="E156" s="114"/>
      <c r="F156" s="114"/>
      <c r="G156" s="114"/>
    </row>
    <row r="157">
      <c r="A157" s="115" t="s">
        <v>20</v>
      </c>
      <c r="B157" s="113" t="s">
        <v>328</v>
      </c>
      <c r="C157" s="8"/>
      <c r="D157" s="114"/>
      <c r="E157" s="114"/>
      <c r="F157" s="114"/>
      <c r="G157" s="114"/>
    </row>
    <row r="158">
      <c r="A158" s="114"/>
      <c r="B158" s="114"/>
      <c r="C158" s="114"/>
      <c r="D158" s="114"/>
      <c r="E158" s="114"/>
      <c r="F158" s="114"/>
      <c r="G158" s="114"/>
    </row>
    <row r="159">
      <c r="A159" s="114"/>
      <c r="B159" s="114"/>
      <c r="C159" s="114"/>
      <c r="D159" s="114"/>
      <c r="E159" s="114"/>
      <c r="F159" s="114"/>
      <c r="G159" s="114"/>
    </row>
    <row r="160">
      <c r="A160" s="113" t="s">
        <v>54</v>
      </c>
      <c r="B160" s="39"/>
      <c r="C160" s="39"/>
      <c r="D160" s="39"/>
      <c r="E160" s="8"/>
      <c r="F160" s="114"/>
      <c r="G160" s="114"/>
    </row>
    <row r="161">
      <c r="A161" s="115" t="s">
        <v>62</v>
      </c>
      <c r="B161" s="115" t="s">
        <v>63</v>
      </c>
      <c r="C161" s="115" t="s">
        <v>64</v>
      </c>
      <c r="D161" s="115" t="s">
        <v>65</v>
      </c>
      <c r="E161" s="115" t="s">
        <v>39</v>
      </c>
      <c r="F161" s="114"/>
      <c r="G161" s="114"/>
    </row>
    <row r="162">
      <c r="A162" s="116" t="s">
        <v>329</v>
      </c>
      <c r="B162" s="116" t="s">
        <v>330</v>
      </c>
      <c r="C162" s="117" t="s">
        <v>331</v>
      </c>
      <c r="D162" s="117" t="s">
        <v>332</v>
      </c>
      <c r="E162" s="117" t="s">
        <v>331</v>
      </c>
      <c r="F162" s="114"/>
      <c r="G162" s="114"/>
    </row>
    <row r="163">
      <c r="A163" s="116" t="s">
        <v>333</v>
      </c>
      <c r="B163" s="116" t="s">
        <v>285</v>
      </c>
      <c r="C163" s="117" t="s">
        <v>334</v>
      </c>
      <c r="D163" s="117" t="s">
        <v>335</v>
      </c>
      <c r="E163" s="117" t="s">
        <v>336</v>
      </c>
      <c r="F163" s="114"/>
      <c r="G163" s="114"/>
    </row>
    <row r="164">
      <c r="A164" s="116" t="s">
        <v>337</v>
      </c>
      <c r="B164" s="116" t="s">
        <v>148</v>
      </c>
      <c r="C164" s="117" t="s">
        <v>338</v>
      </c>
      <c r="D164" s="117" t="s">
        <v>339</v>
      </c>
      <c r="E164" s="117" t="s">
        <v>340</v>
      </c>
      <c r="F164" s="114"/>
      <c r="G164" s="114"/>
    </row>
    <row r="165">
      <c r="A165" s="118"/>
      <c r="B165" s="118"/>
      <c r="C165" s="118"/>
      <c r="D165" s="115" t="s">
        <v>20</v>
      </c>
      <c r="E165" s="115" t="s">
        <v>341</v>
      </c>
      <c r="F165" s="114"/>
      <c r="G165" s="114"/>
    </row>
    <row r="166">
      <c r="A166" s="114"/>
      <c r="B166" s="114"/>
      <c r="C166" s="114"/>
      <c r="D166" s="114"/>
      <c r="E166" s="114"/>
      <c r="F166" s="114"/>
      <c r="G166" s="114"/>
    </row>
    <row r="167">
      <c r="A167" s="114"/>
      <c r="B167" s="114"/>
      <c r="C167" s="114"/>
      <c r="D167" s="114"/>
      <c r="E167" s="114"/>
      <c r="F167" s="114"/>
      <c r="G167" s="114"/>
    </row>
    <row r="168">
      <c r="A168" s="113" t="s">
        <v>342</v>
      </c>
      <c r="B168" s="39"/>
      <c r="C168" s="39"/>
      <c r="D168" s="39"/>
      <c r="E168" s="39"/>
      <c r="F168" s="8"/>
      <c r="G168" s="114"/>
    </row>
    <row r="169">
      <c r="A169" s="115" t="s">
        <v>62</v>
      </c>
      <c r="B169" s="115" t="s">
        <v>166</v>
      </c>
      <c r="C169" s="115" t="s">
        <v>343</v>
      </c>
      <c r="D169" s="113" t="s">
        <v>344</v>
      </c>
      <c r="E169" s="8"/>
      <c r="F169" s="115" t="s">
        <v>39</v>
      </c>
      <c r="G169" s="114"/>
    </row>
    <row r="170">
      <c r="A170" s="116" t="s">
        <v>345</v>
      </c>
      <c r="B170" s="117" t="s">
        <v>346</v>
      </c>
      <c r="C170" s="117" t="s">
        <v>347</v>
      </c>
      <c r="D170" s="121" t="s">
        <v>348</v>
      </c>
      <c r="E170" s="8"/>
      <c r="F170" s="117" t="s">
        <v>349</v>
      </c>
      <c r="G170" s="114"/>
    </row>
    <row r="171">
      <c r="A171" s="116" t="s">
        <v>350</v>
      </c>
      <c r="B171" s="117" t="s">
        <v>351</v>
      </c>
      <c r="C171" s="117" t="s">
        <v>352</v>
      </c>
      <c r="D171" s="121" t="s">
        <v>353</v>
      </c>
      <c r="E171" s="8"/>
      <c r="F171" s="117" t="s">
        <v>354</v>
      </c>
      <c r="G171" s="114"/>
    </row>
    <row r="172">
      <c r="A172" s="114"/>
      <c r="B172" s="114"/>
      <c r="C172" s="114"/>
      <c r="D172" s="114"/>
      <c r="E172" s="114"/>
      <c r="F172" s="114"/>
      <c r="G172" s="114"/>
    </row>
    <row r="173">
      <c r="A173" s="114"/>
      <c r="B173" s="114"/>
      <c r="C173" s="114"/>
      <c r="D173" s="114"/>
      <c r="E173" s="114"/>
      <c r="F173" s="114"/>
      <c r="G173" s="114"/>
    </row>
    <row r="174">
      <c r="A174" s="113" t="s">
        <v>355</v>
      </c>
      <c r="B174" s="39"/>
      <c r="C174" s="39"/>
      <c r="D174" s="39"/>
      <c r="E174" s="39"/>
      <c r="F174" s="8"/>
      <c r="G174" s="114"/>
    </row>
    <row r="175">
      <c r="A175" s="115" t="s">
        <v>62</v>
      </c>
      <c r="B175" s="115" t="s">
        <v>166</v>
      </c>
      <c r="C175" s="115" t="s">
        <v>343</v>
      </c>
      <c r="D175" s="115" t="s">
        <v>64</v>
      </c>
      <c r="E175" s="115" t="s">
        <v>65</v>
      </c>
      <c r="F175" s="115" t="s">
        <v>39</v>
      </c>
      <c r="G175" s="114"/>
    </row>
    <row r="176">
      <c r="A176" s="116" t="s">
        <v>356</v>
      </c>
      <c r="B176" s="117" t="s">
        <v>351</v>
      </c>
      <c r="C176" s="117" t="s">
        <v>357</v>
      </c>
      <c r="D176" s="117" t="s">
        <v>358</v>
      </c>
      <c r="E176" s="117" t="s">
        <v>209</v>
      </c>
      <c r="F176" s="117" t="s">
        <v>359</v>
      </c>
      <c r="G176" s="114"/>
    </row>
    <row r="177">
      <c r="A177" s="114"/>
      <c r="B177" s="114"/>
      <c r="C177" s="114"/>
      <c r="D177" s="114"/>
      <c r="E177" s="114"/>
      <c r="F177" s="114"/>
      <c r="G177" s="114"/>
    </row>
    <row r="178">
      <c r="A178" s="114"/>
      <c r="B178" s="114"/>
      <c r="C178" s="114"/>
      <c r="D178" s="114"/>
      <c r="E178" s="114"/>
      <c r="F178" s="114"/>
      <c r="G178" s="114"/>
    </row>
    <row r="179">
      <c r="A179" s="113" t="s">
        <v>360</v>
      </c>
      <c r="B179" s="39"/>
      <c r="C179" s="39"/>
      <c r="D179" s="8"/>
      <c r="E179" s="114"/>
      <c r="F179" s="114"/>
      <c r="G179" s="114"/>
    </row>
    <row r="180">
      <c r="A180" s="115" t="s">
        <v>62</v>
      </c>
      <c r="B180" s="115" t="s">
        <v>64</v>
      </c>
      <c r="C180" s="115" t="s">
        <v>65</v>
      </c>
      <c r="D180" s="115" t="s">
        <v>39</v>
      </c>
      <c r="E180" s="114"/>
      <c r="F180" s="114"/>
      <c r="G180" s="114"/>
    </row>
    <row r="181">
      <c r="A181" s="116" t="s">
        <v>361</v>
      </c>
      <c r="B181" s="117" t="s">
        <v>362</v>
      </c>
      <c r="C181" s="117" t="s">
        <v>116</v>
      </c>
      <c r="D181" s="117" t="s">
        <v>362</v>
      </c>
      <c r="E181" s="114"/>
      <c r="F181" s="114"/>
      <c r="G181" s="114"/>
    </row>
    <row r="182">
      <c r="A182" s="116" t="s">
        <v>363</v>
      </c>
      <c r="B182" s="117" t="s">
        <v>364</v>
      </c>
      <c r="C182" s="117" t="s">
        <v>176</v>
      </c>
      <c r="D182" s="117" t="s">
        <v>364</v>
      </c>
      <c r="E182" s="114"/>
      <c r="F182" s="114"/>
      <c r="G182" s="114"/>
    </row>
    <row r="183">
      <c r="A183" s="116" t="s">
        <v>365</v>
      </c>
      <c r="B183" s="117" t="s">
        <v>366</v>
      </c>
      <c r="C183" s="117" t="s">
        <v>176</v>
      </c>
      <c r="D183" s="117" t="s">
        <v>366</v>
      </c>
      <c r="E183" s="114"/>
      <c r="F183" s="114"/>
      <c r="G183" s="114"/>
    </row>
    <row r="184">
      <c r="A184" s="116" t="s">
        <v>367</v>
      </c>
      <c r="B184" s="117" t="s">
        <v>368</v>
      </c>
      <c r="C184" s="117" t="s">
        <v>176</v>
      </c>
      <c r="D184" s="117" t="s">
        <v>368</v>
      </c>
      <c r="E184" s="114"/>
      <c r="F184" s="114"/>
      <c r="G184" s="114"/>
    </row>
    <row r="185">
      <c r="A185" s="116" t="s">
        <v>369</v>
      </c>
      <c r="B185" s="117" t="s">
        <v>370</v>
      </c>
      <c r="C185" s="117" t="s">
        <v>176</v>
      </c>
      <c r="D185" s="117" t="s">
        <v>370</v>
      </c>
      <c r="E185" s="114"/>
      <c r="F185" s="114"/>
      <c r="G185" s="114"/>
    </row>
    <row r="186">
      <c r="A186" s="116" t="s">
        <v>371</v>
      </c>
      <c r="B186" s="117" t="s">
        <v>372</v>
      </c>
      <c r="C186" s="117" t="s">
        <v>209</v>
      </c>
      <c r="D186" s="117" t="s">
        <v>373</v>
      </c>
      <c r="E186" s="114"/>
      <c r="F186" s="114"/>
      <c r="G186" s="114"/>
    </row>
    <row r="187">
      <c r="A187" s="118"/>
      <c r="B187" s="118"/>
      <c r="C187" s="115" t="s">
        <v>20</v>
      </c>
      <c r="D187" s="115" t="s">
        <v>374</v>
      </c>
      <c r="E187" s="114"/>
      <c r="F187" s="114"/>
      <c r="G187" s="114"/>
    </row>
    <row r="188">
      <c r="A188" s="114"/>
      <c r="B188" s="114"/>
      <c r="C188" s="114"/>
      <c r="D188" s="114"/>
      <c r="E188" s="114"/>
      <c r="F188" s="114"/>
      <c r="G188" s="114"/>
    </row>
    <row r="189">
      <c r="A189" s="114"/>
      <c r="B189" s="114"/>
      <c r="C189" s="114"/>
      <c r="D189" s="114"/>
      <c r="E189" s="114"/>
      <c r="F189" s="114"/>
      <c r="G189" s="114"/>
    </row>
    <row r="190">
      <c r="A190" s="113" t="s">
        <v>375</v>
      </c>
      <c r="B190" s="39"/>
      <c r="C190" s="39"/>
      <c r="D190" s="8"/>
      <c r="E190" s="114"/>
      <c r="F190" s="114"/>
      <c r="G190" s="114"/>
    </row>
    <row r="191">
      <c r="A191" s="115" t="s">
        <v>62</v>
      </c>
      <c r="B191" s="115" t="s">
        <v>64</v>
      </c>
      <c r="C191" s="115" t="s">
        <v>65</v>
      </c>
      <c r="D191" s="115" t="s">
        <v>39</v>
      </c>
      <c r="E191" s="114"/>
      <c r="F191" s="114"/>
      <c r="G191" s="114"/>
    </row>
    <row r="192">
      <c r="A192" s="116" t="s">
        <v>376</v>
      </c>
      <c r="B192" s="117" t="s">
        <v>377</v>
      </c>
      <c r="C192" s="117" t="s">
        <v>378</v>
      </c>
      <c r="D192" s="117" t="s">
        <v>379</v>
      </c>
      <c r="E192" s="114"/>
      <c r="F192" s="114"/>
      <c r="G192" s="114"/>
    </row>
    <row r="193">
      <c r="A193" s="116" t="s">
        <v>380</v>
      </c>
      <c r="B193" s="117" t="s">
        <v>381</v>
      </c>
      <c r="C193" s="117" t="s">
        <v>209</v>
      </c>
      <c r="D193" s="117" t="s">
        <v>382</v>
      </c>
      <c r="E193" s="114"/>
      <c r="F193" s="114"/>
      <c r="G193" s="114"/>
    </row>
    <row r="194">
      <c r="A194" s="116" t="s">
        <v>383</v>
      </c>
      <c r="B194" s="117" t="s">
        <v>384</v>
      </c>
      <c r="C194" s="117" t="s">
        <v>194</v>
      </c>
      <c r="D194" s="117" t="s">
        <v>385</v>
      </c>
      <c r="E194" s="114"/>
      <c r="F194" s="114"/>
      <c r="G194" s="114"/>
    </row>
    <row r="195">
      <c r="A195" s="116" t="s">
        <v>386</v>
      </c>
      <c r="B195" s="117" t="s">
        <v>387</v>
      </c>
      <c r="C195" s="117" t="s">
        <v>194</v>
      </c>
      <c r="D195" s="117" t="s">
        <v>388</v>
      </c>
      <c r="E195" s="114"/>
      <c r="F195" s="114"/>
      <c r="G195" s="114"/>
    </row>
    <row r="196">
      <c r="A196" s="116" t="s">
        <v>389</v>
      </c>
      <c r="B196" s="117" t="s">
        <v>390</v>
      </c>
      <c r="C196" s="117" t="s">
        <v>176</v>
      </c>
      <c r="D196" s="117" t="s">
        <v>390</v>
      </c>
      <c r="E196" s="114"/>
      <c r="F196" s="114"/>
      <c r="G196" s="114"/>
    </row>
    <row r="197">
      <c r="A197" s="118"/>
      <c r="B197" s="118"/>
      <c r="C197" s="115" t="s">
        <v>20</v>
      </c>
      <c r="D197" s="115" t="s">
        <v>391</v>
      </c>
      <c r="E197" s="114"/>
      <c r="F197" s="114"/>
      <c r="G197" s="114"/>
    </row>
    <row r="198">
      <c r="A198" s="114"/>
      <c r="B198" s="114"/>
      <c r="C198" s="114"/>
      <c r="D198" s="114"/>
      <c r="E198" s="114"/>
      <c r="F198" s="114"/>
      <c r="G198" s="114"/>
    </row>
    <row r="199">
      <c r="A199" s="114"/>
      <c r="B199" s="114"/>
      <c r="C199" s="114"/>
      <c r="D199" s="114"/>
      <c r="E199" s="114"/>
      <c r="F199" s="114"/>
      <c r="G199" s="114"/>
    </row>
    <row r="200">
      <c r="A200" s="113" t="s">
        <v>392</v>
      </c>
      <c r="B200" s="39"/>
      <c r="C200" s="39"/>
      <c r="D200" s="39"/>
      <c r="E200" s="8"/>
      <c r="F200" s="114"/>
      <c r="G200" s="114"/>
    </row>
    <row r="201">
      <c r="A201" s="115" t="s">
        <v>62</v>
      </c>
      <c r="B201" s="115" t="s">
        <v>166</v>
      </c>
      <c r="C201" s="115" t="s">
        <v>64</v>
      </c>
      <c r="D201" s="115" t="s">
        <v>65</v>
      </c>
      <c r="E201" s="115" t="s">
        <v>39</v>
      </c>
      <c r="F201" s="114"/>
      <c r="G201" s="114"/>
    </row>
    <row r="202">
      <c r="A202" s="116" t="s">
        <v>393</v>
      </c>
      <c r="B202" s="117" t="s">
        <v>394</v>
      </c>
      <c r="C202" s="117" t="s">
        <v>395</v>
      </c>
      <c r="D202" s="117" t="s">
        <v>396</v>
      </c>
      <c r="E202" s="117" t="s">
        <v>397</v>
      </c>
      <c r="F202" s="114"/>
      <c r="G202" s="114"/>
    </row>
    <row r="203">
      <c r="A203" s="116" t="s">
        <v>398</v>
      </c>
      <c r="B203" s="117" t="s">
        <v>394</v>
      </c>
      <c r="C203" s="117" t="s">
        <v>399</v>
      </c>
      <c r="D203" s="117" t="s">
        <v>378</v>
      </c>
      <c r="E203" s="117" t="s">
        <v>400</v>
      </c>
      <c r="F203" s="114"/>
      <c r="G203" s="114"/>
    </row>
    <row r="204">
      <c r="A204" s="116" t="s">
        <v>401</v>
      </c>
      <c r="B204" s="117" t="s">
        <v>183</v>
      </c>
      <c r="C204" s="117" t="s">
        <v>402</v>
      </c>
      <c r="D204" s="117" t="s">
        <v>396</v>
      </c>
      <c r="E204" s="117" t="s">
        <v>403</v>
      </c>
      <c r="F204" s="114"/>
      <c r="G204" s="114"/>
    </row>
    <row r="205">
      <c r="A205" s="116" t="s">
        <v>404</v>
      </c>
      <c r="B205" s="117" t="s">
        <v>183</v>
      </c>
      <c r="C205" s="117" t="s">
        <v>405</v>
      </c>
      <c r="D205" s="117" t="s">
        <v>160</v>
      </c>
      <c r="E205" s="117" t="s">
        <v>406</v>
      </c>
      <c r="F205" s="114"/>
      <c r="G205" s="114"/>
    </row>
    <row r="206">
      <c r="A206" s="118"/>
      <c r="B206" s="118"/>
      <c r="C206" s="118"/>
      <c r="D206" s="115" t="s">
        <v>20</v>
      </c>
      <c r="E206" s="115" t="s">
        <v>407</v>
      </c>
      <c r="F206" s="114"/>
      <c r="G206" s="114"/>
    </row>
    <row r="207">
      <c r="A207" s="114"/>
      <c r="B207" s="114"/>
      <c r="C207" s="114"/>
      <c r="D207" s="114"/>
      <c r="E207" s="114"/>
      <c r="F207" s="114"/>
      <c r="G207" s="114"/>
    </row>
    <row r="208">
      <c r="A208" s="114"/>
      <c r="B208" s="114"/>
      <c r="C208" s="114"/>
      <c r="D208" s="114"/>
      <c r="E208" s="114"/>
      <c r="F208" s="114"/>
      <c r="G208" s="114"/>
    </row>
    <row r="209">
      <c r="A209" s="113" t="s">
        <v>408</v>
      </c>
      <c r="B209" s="39"/>
      <c r="C209" s="39"/>
      <c r="D209" s="39"/>
      <c r="E209" s="8"/>
      <c r="F209" s="114"/>
      <c r="G209" s="114"/>
    </row>
    <row r="210">
      <c r="A210" s="115" t="s">
        <v>62</v>
      </c>
      <c r="B210" s="115" t="s">
        <v>166</v>
      </c>
      <c r="C210" s="115" t="s">
        <v>64</v>
      </c>
      <c r="D210" s="115" t="s">
        <v>65</v>
      </c>
      <c r="E210" s="115" t="s">
        <v>39</v>
      </c>
      <c r="F210" s="114"/>
      <c r="G210" s="114"/>
    </row>
    <row r="211">
      <c r="A211" s="116" t="s">
        <v>409</v>
      </c>
      <c r="B211" s="117" t="s">
        <v>410</v>
      </c>
      <c r="C211" s="117" t="s">
        <v>411</v>
      </c>
      <c r="D211" s="117" t="s">
        <v>412</v>
      </c>
      <c r="E211" s="117" t="s">
        <v>413</v>
      </c>
      <c r="F211" s="114"/>
      <c r="G211" s="114"/>
    </row>
    <row r="212">
      <c r="A212" s="116" t="s">
        <v>414</v>
      </c>
      <c r="B212" s="117" t="s">
        <v>410</v>
      </c>
      <c r="C212" s="117" t="s">
        <v>415</v>
      </c>
      <c r="D212" s="117" t="s">
        <v>416</v>
      </c>
      <c r="E212" s="117" t="s">
        <v>417</v>
      </c>
      <c r="F212" s="114"/>
      <c r="G212" s="114"/>
    </row>
    <row r="213">
      <c r="A213" s="116" t="s">
        <v>418</v>
      </c>
      <c r="B213" s="117" t="s">
        <v>410</v>
      </c>
      <c r="C213" s="117" t="s">
        <v>419</v>
      </c>
      <c r="D213" s="117" t="s">
        <v>420</v>
      </c>
      <c r="E213" s="117" t="s">
        <v>421</v>
      </c>
      <c r="F213" s="114"/>
      <c r="G213" s="114"/>
    </row>
    <row r="214">
      <c r="A214" s="116" t="s">
        <v>422</v>
      </c>
      <c r="B214" s="117" t="s">
        <v>410</v>
      </c>
      <c r="C214" s="117" t="s">
        <v>423</v>
      </c>
      <c r="D214" s="117" t="s">
        <v>127</v>
      </c>
      <c r="E214" s="117" t="s">
        <v>424</v>
      </c>
      <c r="F214" s="114"/>
      <c r="G214" s="114"/>
    </row>
    <row r="215">
      <c r="A215" s="116" t="s">
        <v>425</v>
      </c>
      <c r="B215" s="117" t="s">
        <v>410</v>
      </c>
      <c r="C215" s="117" t="s">
        <v>426</v>
      </c>
      <c r="D215" s="117" t="s">
        <v>427</v>
      </c>
      <c r="E215" s="117" t="s">
        <v>428</v>
      </c>
      <c r="F215" s="114"/>
      <c r="G215" s="114"/>
    </row>
    <row r="216">
      <c r="A216" s="118"/>
      <c r="B216" s="118"/>
      <c r="C216" s="118"/>
      <c r="D216" s="115" t="s">
        <v>20</v>
      </c>
      <c r="E216" s="115" t="s">
        <v>429</v>
      </c>
      <c r="F216" s="114"/>
      <c r="G216" s="114"/>
    </row>
    <row r="217">
      <c r="A217" s="114"/>
      <c r="B217" s="114"/>
      <c r="C217" s="114"/>
      <c r="D217" s="114"/>
      <c r="E217" s="114"/>
      <c r="F217" s="114"/>
      <c r="G217" s="114"/>
    </row>
    <row r="218">
      <c r="A218" s="114"/>
      <c r="B218" s="114"/>
      <c r="C218" s="114"/>
      <c r="D218" s="114"/>
      <c r="E218" s="114"/>
      <c r="F218" s="114"/>
      <c r="G218" s="114"/>
    </row>
    <row r="219">
      <c r="A219" s="113" t="s">
        <v>430</v>
      </c>
      <c r="B219" s="39"/>
      <c r="C219" s="39"/>
      <c r="D219" s="39"/>
      <c r="E219" s="8"/>
      <c r="F219" s="114"/>
      <c r="G219" s="114"/>
    </row>
    <row r="220">
      <c r="A220" s="115" t="s">
        <v>62</v>
      </c>
      <c r="B220" s="115" t="s">
        <v>166</v>
      </c>
      <c r="C220" s="115" t="s">
        <v>64</v>
      </c>
      <c r="D220" s="115" t="s">
        <v>65</v>
      </c>
      <c r="E220" s="115" t="s">
        <v>39</v>
      </c>
      <c r="F220" s="114"/>
      <c r="G220" s="114"/>
    </row>
    <row r="221">
      <c r="A221" s="116" t="s">
        <v>431</v>
      </c>
      <c r="B221" s="117" t="s">
        <v>410</v>
      </c>
      <c r="C221" s="117" t="s">
        <v>432</v>
      </c>
      <c r="D221" s="117" t="s">
        <v>433</v>
      </c>
      <c r="E221" s="117" t="s">
        <v>434</v>
      </c>
      <c r="F221" s="114"/>
      <c r="G221" s="114"/>
    </row>
    <row r="222">
      <c r="A222" s="116" t="s">
        <v>435</v>
      </c>
      <c r="B222" s="117" t="s">
        <v>410</v>
      </c>
      <c r="C222" s="117" t="s">
        <v>436</v>
      </c>
      <c r="D222" s="117" t="s">
        <v>131</v>
      </c>
      <c r="E222" s="117" t="s">
        <v>437</v>
      </c>
      <c r="F222" s="114"/>
      <c r="G222" s="114"/>
    </row>
    <row r="223">
      <c r="A223" s="116" t="s">
        <v>438</v>
      </c>
      <c r="B223" s="117" t="s">
        <v>439</v>
      </c>
      <c r="C223" s="117" t="s">
        <v>440</v>
      </c>
      <c r="D223" s="117" t="s">
        <v>176</v>
      </c>
      <c r="E223" s="117" t="s">
        <v>440</v>
      </c>
      <c r="F223" s="114"/>
      <c r="G223" s="114"/>
    </row>
    <row r="224">
      <c r="A224" s="116" t="s">
        <v>441</v>
      </c>
      <c r="B224" s="117" t="s">
        <v>439</v>
      </c>
      <c r="C224" s="117" t="s">
        <v>442</v>
      </c>
      <c r="D224" s="117" t="s">
        <v>176</v>
      </c>
      <c r="E224" s="117" t="s">
        <v>442</v>
      </c>
      <c r="F224" s="114"/>
      <c r="G224" s="114"/>
    </row>
    <row r="225">
      <c r="A225" s="116" t="s">
        <v>443</v>
      </c>
      <c r="B225" s="117" t="s">
        <v>439</v>
      </c>
      <c r="C225" s="117" t="s">
        <v>444</v>
      </c>
      <c r="D225" s="117" t="s">
        <v>176</v>
      </c>
      <c r="E225" s="117" t="s">
        <v>444</v>
      </c>
      <c r="F225" s="114"/>
      <c r="G225" s="114"/>
    </row>
    <row r="226">
      <c r="A226" s="118"/>
      <c r="B226" s="118"/>
      <c r="C226" s="118"/>
      <c r="D226" s="115" t="s">
        <v>20</v>
      </c>
      <c r="E226" s="115" t="s">
        <v>445</v>
      </c>
      <c r="F226" s="114"/>
      <c r="G226" s="114"/>
    </row>
    <row r="227">
      <c r="A227" s="114"/>
      <c r="B227" s="114"/>
      <c r="C227" s="114"/>
      <c r="D227" s="114"/>
      <c r="E227" s="114"/>
      <c r="F227" s="114"/>
      <c r="G227" s="114"/>
    </row>
    <row r="228">
      <c r="A228" s="114"/>
      <c r="B228" s="114"/>
      <c r="C228" s="114"/>
      <c r="D228" s="114"/>
      <c r="E228" s="114"/>
      <c r="F228" s="114"/>
      <c r="G228" s="114"/>
    </row>
    <row r="229">
      <c r="A229" s="113" t="s">
        <v>446</v>
      </c>
      <c r="B229" s="39"/>
      <c r="C229" s="39"/>
      <c r="D229" s="39"/>
      <c r="E229" s="8"/>
      <c r="F229" s="114"/>
      <c r="G229" s="114"/>
    </row>
    <row r="230">
      <c r="A230" s="115" t="s">
        <v>62</v>
      </c>
      <c r="B230" s="115" t="s">
        <v>166</v>
      </c>
      <c r="C230" s="115" t="s">
        <v>64</v>
      </c>
      <c r="D230" s="115" t="s">
        <v>65</v>
      </c>
      <c r="E230" s="115" t="s">
        <v>447</v>
      </c>
      <c r="F230" s="114"/>
      <c r="G230" s="114"/>
    </row>
    <row r="231">
      <c r="A231" s="116" t="s">
        <v>448</v>
      </c>
      <c r="B231" s="117" t="s">
        <v>168</v>
      </c>
      <c r="C231" s="117" t="s">
        <v>449</v>
      </c>
      <c r="D231" s="117" t="s">
        <v>176</v>
      </c>
      <c r="E231" s="117" t="s">
        <v>449</v>
      </c>
      <c r="F231" s="114"/>
      <c r="G231" s="114"/>
    </row>
    <row r="232">
      <c r="A232" s="116" t="s">
        <v>450</v>
      </c>
      <c r="B232" s="117" t="s">
        <v>168</v>
      </c>
      <c r="C232" s="117" t="s">
        <v>451</v>
      </c>
      <c r="D232" s="117" t="s">
        <v>180</v>
      </c>
      <c r="E232" s="117" t="s">
        <v>452</v>
      </c>
      <c r="F232" s="114"/>
      <c r="G232" s="114"/>
    </row>
    <row r="233">
      <c r="A233" s="116" t="s">
        <v>453</v>
      </c>
      <c r="B233" s="117" t="s">
        <v>168</v>
      </c>
      <c r="C233" s="117" t="s">
        <v>454</v>
      </c>
      <c r="D233" s="117" t="s">
        <v>176</v>
      </c>
      <c r="E233" s="117" t="s">
        <v>454</v>
      </c>
      <c r="F233" s="114"/>
      <c r="G233" s="114"/>
    </row>
    <row r="234">
      <c r="A234" s="116" t="s">
        <v>455</v>
      </c>
      <c r="B234" s="117" t="s">
        <v>168</v>
      </c>
      <c r="C234" s="117" t="s">
        <v>456</v>
      </c>
      <c r="D234" s="117" t="s">
        <v>176</v>
      </c>
      <c r="E234" s="117" t="s">
        <v>456</v>
      </c>
      <c r="F234" s="114"/>
      <c r="G234" s="114"/>
    </row>
    <row r="235">
      <c r="A235" s="116" t="s">
        <v>457</v>
      </c>
      <c r="B235" s="117" t="s">
        <v>168</v>
      </c>
      <c r="C235" s="117" t="s">
        <v>458</v>
      </c>
      <c r="D235" s="117" t="s">
        <v>194</v>
      </c>
      <c r="E235" s="117" t="s">
        <v>459</v>
      </c>
      <c r="F235" s="114"/>
      <c r="G235" s="114"/>
    </row>
    <row r="236">
      <c r="A236" s="116" t="s">
        <v>460</v>
      </c>
      <c r="B236" s="117" t="s">
        <v>168</v>
      </c>
      <c r="C236" s="117" t="s">
        <v>461</v>
      </c>
      <c r="D236" s="117" t="s">
        <v>160</v>
      </c>
      <c r="E236" s="117" t="s">
        <v>462</v>
      </c>
      <c r="F236" s="114"/>
      <c r="G236" s="114"/>
    </row>
    <row r="237">
      <c r="A237" s="116" t="s">
        <v>463</v>
      </c>
      <c r="B237" s="117" t="s">
        <v>168</v>
      </c>
      <c r="C237" s="117" t="s">
        <v>458</v>
      </c>
      <c r="D237" s="117" t="s">
        <v>194</v>
      </c>
      <c r="E237" s="117" t="s">
        <v>459</v>
      </c>
      <c r="F237" s="114"/>
      <c r="G237" s="114"/>
    </row>
    <row r="238">
      <c r="A238" s="116" t="s">
        <v>464</v>
      </c>
      <c r="B238" s="117" t="s">
        <v>168</v>
      </c>
      <c r="C238" s="117" t="s">
        <v>461</v>
      </c>
      <c r="D238" s="117" t="s">
        <v>176</v>
      </c>
      <c r="E238" s="117" t="s">
        <v>461</v>
      </c>
      <c r="F238" s="114"/>
      <c r="G238" s="114"/>
    </row>
    <row r="239">
      <c r="A239" s="116" t="s">
        <v>465</v>
      </c>
      <c r="B239" s="117" t="s">
        <v>168</v>
      </c>
      <c r="C239" s="117" t="s">
        <v>466</v>
      </c>
      <c r="D239" s="117" t="s">
        <v>176</v>
      </c>
      <c r="E239" s="117" t="s">
        <v>466</v>
      </c>
      <c r="F239" s="114"/>
      <c r="G239" s="114"/>
    </row>
    <row r="240">
      <c r="A240" s="116" t="s">
        <v>467</v>
      </c>
      <c r="B240" s="117" t="s">
        <v>168</v>
      </c>
      <c r="C240" s="117" t="s">
        <v>468</v>
      </c>
      <c r="D240" s="117" t="s">
        <v>176</v>
      </c>
      <c r="E240" s="117" t="s">
        <v>468</v>
      </c>
      <c r="F240" s="114"/>
      <c r="G240" s="114"/>
    </row>
    <row r="241">
      <c r="A241" s="116" t="s">
        <v>469</v>
      </c>
      <c r="B241" s="117" t="s">
        <v>168</v>
      </c>
      <c r="C241" s="117" t="s">
        <v>470</v>
      </c>
      <c r="D241" s="117" t="s">
        <v>176</v>
      </c>
      <c r="E241" s="117" t="s">
        <v>470</v>
      </c>
      <c r="F241" s="114"/>
      <c r="G241" s="114"/>
    </row>
    <row r="242">
      <c r="A242" s="116" t="s">
        <v>471</v>
      </c>
      <c r="B242" s="117" t="s">
        <v>168</v>
      </c>
      <c r="C242" s="117" t="s">
        <v>472</v>
      </c>
      <c r="D242" s="117" t="s">
        <v>176</v>
      </c>
      <c r="E242" s="117" t="s">
        <v>472</v>
      </c>
      <c r="F242" s="114"/>
      <c r="G242" s="114"/>
    </row>
    <row r="243">
      <c r="A243" s="116" t="s">
        <v>473</v>
      </c>
      <c r="B243" s="117" t="s">
        <v>168</v>
      </c>
      <c r="C243" s="117" t="s">
        <v>474</v>
      </c>
      <c r="D243" s="117" t="s">
        <v>176</v>
      </c>
      <c r="E243" s="117" t="s">
        <v>474</v>
      </c>
      <c r="F243" s="114"/>
      <c r="G243" s="114"/>
    </row>
    <row r="244">
      <c r="A244" s="116" t="s">
        <v>475</v>
      </c>
      <c r="B244" s="117" t="s">
        <v>168</v>
      </c>
      <c r="C244" s="117" t="s">
        <v>476</v>
      </c>
      <c r="D244" s="117" t="s">
        <v>176</v>
      </c>
      <c r="E244" s="117" t="s">
        <v>476</v>
      </c>
      <c r="F244" s="114"/>
      <c r="G244" s="114"/>
    </row>
    <row r="245">
      <c r="A245" s="116" t="s">
        <v>477</v>
      </c>
      <c r="B245" s="117" t="s">
        <v>168</v>
      </c>
      <c r="C245" s="117" t="s">
        <v>478</v>
      </c>
      <c r="D245" s="117" t="s">
        <v>176</v>
      </c>
      <c r="E245" s="117" t="s">
        <v>478</v>
      </c>
      <c r="F245" s="114"/>
      <c r="G245" s="114"/>
    </row>
    <row r="246">
      <c r="A246" s="116" t="s">
        <v>479</v>
      </c>
      <c r="B246" s="117" t="s">
        <v>168</v>
      </c>
      <c r="C246" s="117" t="s">
        <v>478</v>
      </c>
      <c r="D246" s="117" t="s">
        <v>176</v>
      </c>
      <c r="E246" s="117" t="s">
        <v>478</v>
      </c>
      <c r="F246" s="114"/>
      <c r="G246" s="114"/>
    </row>
    <row r="247">
      <c r="A247" s="118"/>
      <c r="B247" s="118"/>
      <c r="C247" s="118"/>
      <c r="D247" s="115" t="s">
        <v>20</v>
      </c>
      <c r="E247" s="115" t="s">
        <v>480</v>
      </c>
      <c r="F247" s="114"/>
      <c r="G247" s="114"/>
    </row>
    <row r="248">
      <c r="A248" s="114"/>
      <c r="B248" s="114"/>
      <c r="C248" s="114"/>
      <c r="D248" s="114"/>
      <c r="E248" s="114"/>
      <c r="F248" s="114"/>
      <c r="G248" s="114"/>
    </row>
    <row r="249">
      <c r="A249" s="114"/>
      <c r="B249" s="114"/>
      <c r="C249" s="114"/>
      <c r="D249" s="114"/>
      <c r="E249" s="114"/>
      <c r="F249" s="114"/>
      <c r="G249" s="114"/>
    </row>
    <row r="250">
      <c r="A250" s="113" t="s">
        <v>481</v>
      </c>
      <c r="B250" s="39"/>
      <c r="C250" s="39"/>
      <c r="D250" s="39"/>
      <c r="E250" s="8"/>
      <c r="F250" s="114"/>
      <c r="G250" s="114"/>
    </row>
    <row r="251">
      <c r="A251" s="115" t="s">
        <v>62</v>
      </c>
      <c r="B251" s="115" t="s">
        <v>166</v>
      </c>
      <c r="C251" s="115" t="s">
        <v>64</v>
      </c>
      <c r="D251" s="115" t="s">
        <v>65</v>
      </c>
      <c r="E251" s="115" t="s">
        <v>39</v>
      </c>
      <c r="F251" s="114"/>
      <c r="G251" s="114"/>
    </row>
    <row r="252">
      <c r="A252" s="116" t="s">
        <v>482</v>
      </c>
      <c r="B252" s="117" t="s">
        <v>168</v>
      </c>
      <c r="C252" s="117" t="s">
        <v>483</v>
      </c>
      <c r="D252" s="117" t="s">
        <v>378</v>
      </c>
      <c r="E252" s="117" t="s">
        <v>484</v>
      </c>
      <c r="F252" s="114"/>
      <c r="G252" s="114"/>
    </row>
    <row r="253">
      <c r="A253" s="116" t="s">
        <v>485</v>
      </c>
      <c r="B253" s="117" t="s">
        <v>168</v>
      </c>
      <c r="C253" s="117" t="s">
        <v>486</v>
      </c>
      <c r="D253" s="117" t="s">
        <v>194</v>
      </c>
      <c r="E253" s="117" t="s">
        <v>487</v>
      </c>
      <c r="F253" s="114"/>
      <c r="G253" s="114"/>
    </row>
    <row r="254">
      <c r="A254" s="116" t="s">
        <v>488</v>
      </c>
      <c r="B254" s="117" t="s">
        <v>168</v>
      </c>
      <c r="C254" s="117" t="s">
        <v>489</v>
      </c>
      <c r="D254" s="117" t="s">
        <v>176</v>
      </c>
      <c r="E254" s="117" t="s">
        <v>489</v>
      </c>
      <c r="F254" s="114"/>
      <c r="G254" s="114"/>
    </row>
    <row r="255">
      <c r="A255" s="116" t="s">
        <v>490</v>
      </c>
      <c r="B255" s="117" t="s">
        <v>168</v>
      </c>
      <c r="C255" s="117" t="s">
        <v>491</v>
      </c>
      <c r="D255" s="117" t="s">
        <v>194</v>
      </c>
      <c r="E255" s="117" t="s">
        <v>492</v>
      </c>
      <c r="F255" s="114"/>
      <c r="G255" s="114"/>
    </row>
    <row r="256">
      <c r="A256" s="116" t="s">
        <v>493</v>
      </c>
      <c r="B256" s="117" t="s">
        <v>168</v>
      </c>
      <c r="C256" s="117" t="s">
        <v>494</v>
      </c>
      <c r="D256" s="117" t="s">
        <v>194</v>
      </c>
      <c r="E256" s="117" t="s">
        <v>495</v>
      </c>
      <c r="F256" s="114"/>
      <c r="G256" s="114"/>
    </row>
    <row r="257">
      <c r="A257" s="118"/>
      <c r="B257" s="118"/>
      <c r="C257" s="118"/>
      <c r="D257" s="115" t="s">
        <v>20</v>
      </c>
      <c r="E257" s="115" t="s">
        <v>496</v>
      </c>
      <c r="F257" s="114"/>
      <c r="G257" s="114"/>
    </row>
    <row r="258">
      <c r="A258" s="114"/>
      <c r="B258" s="114"/>
      <c r="C258" s="114"/>
      <c r="D258" s="114"/>
      <c r="E258" s="114"/>
      <c r="F258" s="114"/>
      <c r="G258" s="114"/>
    </row>
    <row r="259">
      <c r="A259" s="114"/>
      <c r="B259" s="114"/>
      <c r="C259" s="114"/>
      <c r="D259" s="114"/>
      <c r="E259" s="114"/>
      <c r="F259" s="114"/>
      <c r="G259" s="114"/>
    </row>
    <row r="260">
      <c r="A260" s="113" t="s">
        <v>497</v>
      </c>
      <c r="B260" s="39"/>
      <c r="C260" s="39"/>
      <c r="D260" s="39"/>
      <c r="E260" s="8"/>
      <c r="F260" s="114"/>
      <c r="G260" s="114"/>
    </row>
    <row r="261">
      <c r="A261" s="115" t="s">
        <v>62</v>
      </c>
      <c r="B261" s="115" t="s">
        <v>166</v>
      </c>
      <c r="C261" s="115" t="s">
        <v>64</v>
      </c>
      <c r="D261" s="115" t="s">
        <v>65</v>
      </c>
      <c r="E261" s="115" t="s">
        <v>39</v>
      </c>
      <c r="F261" s="114"/>
      <c r="G261" s="114"/>
    </row>
    <row r="262">
      <c r="A262" s="116" t="s">
        <v>498</v>
      </c>
      <c r="B262" s="117" t="s">
        <v>168</v>
      </c>
      <c r="C262" s="117" t="s">
        <v>499</v>
      </c>
      <c r="D262" s="117" t="s">
        <v>176</v>
      </c>
      <c r="E262" s="117" t="s">
        <v>499</v>
      </c>
      <c r="F262" s="114"/>
      <c r="G262" s="114"/>
    </row>
    <row r="263">
      <c r="A263" s="116" t="s">
        <v>500</v>
      </c>
      <c r="B263" s="117" t="s">
        <v>168</v>
      </c>
      <c r="C263" s="117" t="s">
        <v>501</v>
      </c>
      <c r="D263" s="117" t="s">
        <v>176</v>
      </c>
      <c r="E263" s="117" t="s">
        <v>501</v>
      </c>
      <c r="F263" s="114"/>
      <c r="G263" s="114"/>
    </row>
    <row r="264">
      <c r="A264" s="116" t="s">
        <v>502</v>
      </c>
      <c r="B264" s="117" t="s">
        <v>168</v>
      </c>
      <c r="C264" s="117" t="s">
        <v>503</v>
      </c>
      <c r="D264" s="117" t="s">
        <v>194</v>
      </c>
      <c r="E264" s="117" t="s">
        <v>504</v>
      </c>
      <c r="F264" s="114"/>
      <c r="G264" s="114"/>
    </row>
    <row r="265">
      <c r="A265" s="118"/>
      <c r="B265" s="118"/>
      <c r="C265" s="118"/>
      <c r="D265" s="115" t="s">
        <v>20</v>
      </c>
      <c r="E265" s="115" t="s">
        <v>505</v>
      </c>
      <c r="F265" s="114"/>
      <c r="G265" s="114"/>
    </row>
    <row r="266">
      <c r="A266" s="114"/>
      <c r="B266" s="114"/>
      <c r="C266" s="114"/>
      <c r="D266" s="114"/>
      <c r="E266" s="114"/>
      <c r="F266" s="114"/>
      <c r="G266" s="114"/>
    </row>
    <row r="267">
      <c r="A267" s="114"/>
      <c r="B267" s="114"/>
      <c r="C267" s="114"/>
      <c r="D267" s="114"/>
      <c r="E267" s="114"/>
      <c r="F267" s="114"/>
      <c r="G267" s="114"/>
    </row>
    <row r="268">
      <c r="A268" s="113" t="s">
        <v>506</v>
      </c>
      <c r="B268" s="39"/>
      <c r="C268" s="39"/>
      <c r="D268" s="39"/>
      <c r="E268" s="8"/>
      <c r="F268" s="114"/>
      <c r="G268" s="114"/>
    </row>
    <row r="269">
      <c r="A269" s="115" t="s">
        <v>62</v>
      </c>
      <c r="B269" s="115" t="s">
        <v>166</v>
      </c>
      <c r="C269" s="115" t="s">
        <v>64</v>
      </c>
      <c r="D269" s="115" t="s">
        <v>65</v>
      </c>
      <c r="E269" s="115" t="s">
        <v>39</v>
      </c>
      <c r="F269" s="114"/>
      <c r="G269" s="114"/>
    </row>
    <row r="270">
      <c r="A270" s="116" t="s">
        <v>507</v>
      </c>
      <c r="B270" s="117" t="s">
        <v>439</v>
      </c>
      <c r="C270" s="117" t="s">
        <v>508</v>
      </c>
      <c r="D270" s="117" t="s">
        <v>176</v>
      </c>
      <c r="E270" s="117" t="s">
        <v>508</v>
      </c>
      <c r="F270" s="114"/>
      <c r="G270" s="114"/>
    </row>
    <row r="271">
      <c r="A271" s="116" t="s">
        <v>509</v>
      </c>
      <c r="B271" s="117" t="s">
        <v>510</v>
      </c>
      <c r="C271" s="117" t="s">
        <v>511</v>
      </c>
      <c r="D271" s="117" t="s">
        <v>102</v>
      </c>
      <c r="E271" s="117" t="s">
        <v>512</v>
      </c>
      <c r="F271" s="114"/>
      <c r="G271" s="114"/>
    </row>
    <row r="272">
      <c r="A272" s="116" t="s">
        <v>513</v>
      </c>
      <c r="B272" s="117" t="s">
        <v>510</v>
      </c>
      <c r="C272" s="117" t="s">
        <v>514</v>
      </c>
      <c r="D272" s="117" t="s">
        <v>102</v>
      </c>
      <c r="E272" s="117" t="s">
        <v>515</v>
      </c>
      <c r="F272" s="114"/>
      <c r="G272" s="114"/>
    </row>
    <row r="273">
      <c r="A273" s="116" t="s">
        <v>516</v>
      </c>
      <c r="B273" s="117" t="s">
        <v>510</v>
      </c>
      <c r="C273" s="117" t="s">
        <v>517</v>
      </c>
      <c r="D273" s="117" t="s">
        <v>127</v>
      </c>
      <c r="E273" s="117" t="s">
        <v>518</v>
      </c>
      <c r="F273" s="114"/>
      <c r="G273" s="114"/>
    </row>
    <row r="274">
      <c r="A274" s="116" t="s">
        <v>519</v>
      </c>
      <c r="B274" s="117" t="s">
        <v>510</v>
      </c>
      <c r="C274" s="117" t="s">
        <v>520</v>
      </c>
      <c r="D274" s="117" t="s">
        <v>194</v>
      </c>
      <c r="E274" s="117" t="s">
        <v>521</v>
      </c>
      <c r="F274" s="114"/>
      <c r="G274" s="114"/>
    </row>
    <row r="275">
      <c r="A275" s="116" t="s">
        <v>522</v>
      </c>
      <c r="B275" s="117" t="s">
        <v>510</v>
      </c>
      <c r="C275" s="117" t="s">
        <v>523</v>
      </c>
      <c r="D275" s="117" t="s">
        <v>176</v>
      </c>
      <c r="E275" s="117" t="s">
        <v>523</v>
      </c>
      <c r="F275" s="114"/>
      <c r="G275" s="114"/>
    </row>
    <row r="276">
      <c r="A276" s="116" t="s">
        <v>519</v>
      </c>
      <c r="B276" s="117" t="s">
        <v>510</v>
      </c>
      <c r="C276" s="117" t="s">
        <v>524</v>
      </c>
      <c r="D276" s="117" t="s">
        <v>194</v>
      </c>
      <c r="E276" s="117" t="s">
        <v>525</v>
      </c>
      <c r="F276" s="114"/>
      <c r="G276" s="114"/>
    </row>
    <row r="277">
      <c r="A277" s="116" t="s">
        <v>526</v>
      </c>
      <c r="B277" s="117" t="s">
        <v>527</v>
      </c>
      <c r="C277" s="117" t="s">
        <v>528</v>
      </c>
      <c r="D277" s="117" t="s">
        <v>176</v>
      </c>
      <c r="E277" s="117" t="s">
        <v>528</v>
      </c>
      <c r="F277" s="114"/>
      <c r="G277" s="114"/>
    </row>
    <row r="278">
      <c r="A278" s="116" t="s">
        <v>529</v>
      </c>
      <c r="B278" s="117" t="s">
        <v>168</v>
      </c>
      <c r="C278" s="117" t="s">
        <v>530</v>
      </c>
      <c r="D278" s="117" t="s">
        <v>531</v>
      </c>
      <c r="E278" s="117" t="s">
        <v>532</v>
      </c>
      <c r="F278" s="114"/>
      <c r="G278" s="114"/>
    </row>
    <row r="279">
      <c r="A279" s="116" t="s">
        <v>533</v>
      </c>
      <c r="B279" s="117" t="s">
        <v>168</v>
      </c>
      <c r="C279" s="117" t="s">
        <v>534</v>
      </c>
      <c r="D279" s="117" t="s">
        <v>176</v>
      </c>
      <c r="E279" s="117" t="s">
        <v>534</v>
      </c>
      <c r="F279" s="114"/>
      <c r="G279" s="114"/>
    </row>
    <row r="280">
      <c r="A280" s="116" t="s">
        <v>535</v>
      </c>
      <c r="B280" s="117" t="s">
        <v>168</v>
      </c>
      <c r="C280" s="117" t="s">
        <v>536</v>
      </c>
      <c r="D280" s="117" t="s">
        <v>396</v>
      </c>
      <c r="E280" s="117" t="s">
        <v>537</v>
      </c>
      <c r="F280" s="114"/>
      <c r="G280" s="114"/>
    </row>
    <row r="281">
      <c r="A281" s="116" t="s">
        <v>538</v>
      </c>
      <c r="B281" s="117" t="s">
        <v>168</v>
      </c>
      <c r="C281" s="117" t="s">
        <v>536</v>
      </c>
      <c r="D281" s="117" t="s">
        <v>180</v>
      </c>
      <c r="E281" s="117" t="s">
        <v>539</v>
      </c>
      <c r="F281" s="114"/>
      <c r="G281" s="114"/>
    </row>
    <row r="282">
      <c r="A282" s="116" t="s">
        <v>540</v>
      </c>
      <c r="B282" s="117" t="s">
        <v>541</v>
      </c>
      <c r="C282" s="117" t="s">
        <v>542</v>
      </c>
      <c r="D282" s="117" t="s">
        <v>176</v>
      </c>
      <c r="E282" s="117" t="s">
        <v>542</v>
      </c>
      <c r="F282" s="114"/>
      <c r="G282" s="114"/>
    </row>
    <row r="283">
      <c r="A283" s="116" t="s">
        <v>543</v>
      </c>
      <c r="B283" s="117" t="s">
        <v>541</v>
      </c>
      <c r="C283" s="117" t="s">
        <v>544</v>
      </c>
      <c r="D283" s="117" t="s">
        <v>176</v>
      </c>
      <c r="E283" s="117" t="s">
        <v>544</v>
      </c>
      <c r="F283" s="114"/>
      <c r="G283" s="114"/>
    </row>
    <row r="284">
      <c r="A284" s="118"/>
      <c r="B284" s="118"/>
      <c r="C284" s="118"/>
      <c r="D284" s="115" t="s">
        <v>20</v>
      </c>
      <c r="E284" s="115" t="s">
        <v>545</v>
      </c>
      <c r="F284" s="114"/>
      <c r="G284" s="114"/>
    </row>
    <row r="285">
      <c r="A285" s="114"/>
      <c r="B285" s="114"/>
      <c r="C285" s="114"/>
      <c r="D285" s="114"/>
      <c r="E285" s="114"/>
      <c r="F285" s="114"/>
      <c r="G285" s="114"/>
    </row>
    <row r="286">
      <c r="A286" s="114"/>
      <c r="B286" s="114"/>
      <c r="C286" s="114"/>
      <c r="D286" s="114"/>
      <c r="E286" s="114"/>
      <c r="F286" s="114"/>
      <c r="G286" s="114"/>
    </row>
    <row r="287">
      <c r="A287" s="113" t="s">
        <v>546</v>
      </c>
      <c r="B287" s="39"/>
      <c r="C287" s="39"/>
      <c r="D287" s="8"/>
      <c r="E287" s="114"/>
      <c r="F287" s="114"/>
      <c r="G287" s="114"/>
    </row>
    <row r="288">
      <c r="A288" s="115" t="s">
        <v>62</v>
      </c>
      <c r="B288" s="115" t="s">
        <v>64</v>
      </c>
      <c r="C288" s="115" t="s">
        <v>65</v>
      </c>
      <c r="D288" s="115" t="s">
        <v>39</v>
      </c>
      <c r="E288" s="114"/>
      <c r="F288" s="114"/>
      <c r="G288" s="114"/>
    </row>
    <row r="289">
      <c r="A289" s="116" t="s">
        <v>547</v>
      </c>
      <c r="B289" s="117" t="s">
        <v>548</v>
      </c>
      <c r="C289" s="117" t="s">
        <v>139</v>
      </c>
      <c r="D289" s="117" t="s">
        <v>549</v>
      </c>
      <c r="E289" s="114"/>
      <c r="F289" s="114"/>
      <c r="G289" s="114"/>
    </row>
    <row r="290">
      <c r="A290" s="116" t="s">
        <v>550</v>
      </c>
      <c r="B290" s="117" t="s">
        <v>551</v>
      </c>
      <c r="C290" s="117" t="s">
        <v>552</v>
      </c>
      <c r="D290" s="117" t="s">
        <v>553</v>
      </c>
      <c r="E290" s="114"/>
      <c r="F290" s="114"/>
      <c r="G290" s="114"/>
    </row>
    <row r="291">
      <c r="A291" s="116" t="s">
        <v>554</v>
      </c>
      <c r="B291" s="117" t="s">
        <v>555</v>
      </c>
      <c r="C291" s="117" t="s">
        <v>194</v>
      </c>
      <c r="D291" s="117" t="s">
        <v>556</v>
      </c>
      <c r="E291" s="114"/>
      <c r="F291" s="114"/>
      <c r="G291" s="114"/>
    </row>
    <row r="292">
      <c r="A292" s="116" t="s">
        <v>557</v>
      </c>
      <c r="B292" s="117" t="s">
        <v>558</v>
      </c>
      <c r="C292" s="117" t="s">
        <v>176</v>
      </c>
      <c r="D292" s="117" t="s">
        <v>558</v>
      </c>
      <c r="E292" s="114"/>
      <c r="F292" s="114"/>
      <c r="G292" s="114"/>
    </row>
    <row r="293">
      <c r="A293" s="116" t="s">
        <v>559</v>
      </c>
      <c r="B293" s="117" t="s">
        <v>560</v>
      </c>
      <c r="C293" s="117" t="s">
        <v>176</v>
      </c>
      <c r="D293" s="117" t="s">
        <v>560</v>
      </c>
      <c r="E293" s="114"/>
      <c r="F293" s="114"/>
      <c r="G293" s="114"/>
    </row>
    <row r="294">
      <c r="A294" s="116" t="s">
        <v>561</v>
      </c>
      <c r="B294" s="117" t="s">
        <v>562</v>
      </c>
      <c r="C294" s="117" t="s">
        <v>176</v>
      </c>
      <c r="D294" s="117" t="s">
        <v>562</v>
      </c>
      <c r="E294" s="114"/>
      <c r="F294" s="114"/>
      <c r="G294" s="114"/>
    </row>
    <row r="295">
      <c r="A295" s="116" t="s">
        <v>563</v>
      </c>
      <c r="B295" s="117" t="s">
        <v>564</v>
      </c>
      <c r="C295" s="117" t="s">
        <v>194</v>
      </c>
      <c r="D295" s="117" t="s">
        <v>565</v>
      </c>
      <c r="E295" s="114"/>
      <c r="F295" s="114"/>
      <c r="G295" s="114"/>
    </row>
    <row r="296">
      <c r="A296" s="116" t="s">
        <v>566</v>
      </c>
      <c r="B296" s="117" t="s">
        <v>567</v>
      </c>
      <c r="C296" s="117" t="s">
        <v>176</v>
      </c>
      <c r="D296" s="117" t="s">
        <v>567</v>
      </c>
      <c r="E296" s="114"/>
      <c r="F296" s="114"/>
      <c r="G296" s="114"/>
    </row>
    <row r="297">
      <c r="A297" s="116" t="s">
        <v>568</v>
      </c>
      <c r="B297" s="117" t="s">
        <v>569</v>
      </c>
      <c r="C297" s="117" t="s">
        <v>160</v>
      </c>
      <c r="D297" s="117" t="s">
        <v>570</v>
      </c>
      <c r="E297" s="114"/>
      <c r="F297" s="114"/>
      <c r="G297" s="114"/>
    </row>
    <row r="298">
      <c r="A298" s="116" t="s">
        <v>571</v>
      </c>
      <c r="B298" s="117" t="s">
        <v>572</v>
      </c>
      <c r="C298" s="117" t="s">
        <v>378</v>
      </c>
      <c r="D298" s="117" t="s">
        <v>573</v>
      </c>
      <c r="E298" s="114"/>
      <c r="F298" s="114"/>
      <c r="G298" s="114"/>
    </row>
    <row r="299">
      <c r="A299" s="116" t="s">
        <v>574</v>
      </c>
      <c r="B299" s="117" t="s">
        <v>575</v>
      </c>
      <c r="C299" s="117" t="s">
        <v>160</v>
      </c>
      <c r="D299" s="117" t="s">
        <v>576</v>
      </c>
      <c r="E299" s="114"/>
      <c r="F299" s="114"/>
      <c r="G299" s="114"/>
    </row>
    <row r="300">
      <c r="A300" s="116" t="s">
        <v>577</v>
      </c>
      <c r="B300" s="117" t="s">
        <v>578</v>
      </c>
      <c r="C300" s="117" t="s">
        <v>209</v>
      </c>
      <c r="D300" s="117" t="s">
        <v>579</v>
      </c>
      <c r="E300" s="114"/>
      <c r="F300" s="114"/>
      <c r="G300" s="114"/>
    </row>
    <row r="301">
      <c r="A301" s="118"/>
      <c r="B301" s="118"/>
      <c r="C301" s="115" t="s">
        <v>20</v>
      </c>
      <c r="D301" s="115" t="s">
        <v>580</v>
      </c>
      <c r="E301" s="114"/>
      <c r="F301" s="114"/>
      <c r="G301" s="114"/>
    </row>
    <row r="302">
      <c r="A302" s="114"/>
      <c r="B302" s="114"/>
      <c r="C302" s="114"/>
      <c r="D302" s="114"/>
      <c r="E302" s="114"/>
      <c r="F302" s="114"/>
      <c r="G302" s="114"/>
    </row>
    <row r="303">
      <c r="A303" s="114"/>
      <c r="B303" s="114"/>
      <c r="C303" s="114"/>
      <c r="D303" s="114"/>
      <c r="E303" s="114"/>
      <c r="F303" s="114"/>
      <c r="G303" s="114"/>
    </row>
    <row r="304">
      <c r="A304" s="113" t="s">
        <v>581</v>
      </c>
      <c r="B304" s="39"/>
      <c r="C304" s="39"/>
      <c r="D304" s="8"/>
      <c r="E304" s="114"/>
      <c r="F304" s="114"/>
      <c r="G304" s="114"/>
    </row>
    <row r="305">
      <c r="A305" s="115" t="s">
        <v>38</v>
      </c>
      <c r="B305" s="115" t="s">
        <v>64</v>
      </c>
      <c r="C305" s="115" t="s">
        <v>65</v>
      </c>
      <c r="D305" s="115" t="s">
        <v>39</v>
      </c>
      <c r="E305" s="114"/>
      <c r="F305" s="114"/>
      <c r="G305" s="114"/>
    </row>
    <row r="306">
      <c r="A306" s="116" t="s">
        <v>582</v>
      </c>
      <c r="B306" s="117" t="s">
        <v>583</v>
      </c>
      <c r="C306" s="117" t="s">
        <v>427</v>
      </c>
      <c r="D306" s="117" t="s">
        <v>584</v>
      </c>
      <c r="E306" s="114"/>
      <c r="F306" s="114"/>
      <c r="G306" s="114"/>
    </row>
    <row r="307">
      <c r="A307" s="116" t="s">
        <v>585</v>
      </c>
      <c r="B307" s="117" t="s">
        <v>586</v>
      </c>
      <c r="C307" s="117" t="s">
        <v>552</v>
      </c>
      <c r="D307" s="117" t="s">
        <v>587</v>
      </c>
      <c r="E307" s="114"/>
      <c r="F307" s="114"/>
      <c r="G307" s="114"/>
    </row>
    <row r="308">
      <c r="A308" s="116" t="s">
        <v>588</v>
      </c>
      <c r="B308" s="117" t="s">
        <v>589</v>
      </c>
      <c r="C308" s="117">
        <v>6.0</v>
      </c>
      <c r="D308" s="117" t="s">
        <v>590</v>
      </c>
      <c r="E308" s="114"/>
      <c r="F308" s="114"/>
      <c r="G308" s="114"/>
    </row>
    <row r="309">
      <c r="A309" s="116" t="s">
        <v>591</v>
      </c>
      <c r="B309" s="117" t="s">
        <v>592</v>
      </c>
      <c r="C309" s="117" t="s">
        <v>139</v>
      </c>
      <c r="D309" s="117" t="s">
        <v>593</v>
      </c>
      <c r="E309" s="114"/>
      <c r="F309" s="114"/>
      <c r="G309" s="114"/>
    </row>
    <row r="310">
      <c r="A310" s="116" t="s">
        <v>594</v>
      </c>
      <c r="B310" s="117" t="s">
        <v>586</v>
      </c>
      <c r="C310" s="117">
        <v>2.0</v>
      </c>
      <c r="D310" s="117" t="s">
        <v>595</v>
      </c>
      <c r="E310" s="114"/>
      <c r="F310" s="114"/>
      <c r="G310" s="114"/>
    </row>
    <row r="311">
      <c r="A311" s="116" t="s">
        <v>596</v>
      </c>
      <c r="B311" s="117" t="s">
        <v>597</v>
      </c>
      <c r="C311" s="117">
        <v>10.0</v>
      </c>
      <c r="D311" s="117" t="s">
        <v>598</v>
      </c>
      <c r="E311" s="114"/>
      <c r="F311" s="114"/>
      <c r="G311" s="114"/>
    </row>
    <row r="312">
      <c r="A312" s="116" t="s">
        <v>599</v>
      </c>
      <c r="B312" s="117" t="s">
        <v>600</v>
      </c>
      <c r="C312" s="117">
        <v>4.0</v>
      </c>
      <c r="D312" s="117" t="s">
        <v>601</v>
      </c>
      <c r="E312" s="114"/>
      <c r="F312" s="114"/>
      <c r="G312" s="114"/>
    </row>
    <row r="313">
      <c r="A313" s="116" t="s">
        <v>602</v>
      </c>
      <c r="B313" s="117" t="s">
        <v>603</v>
      </c>
      <c r="C313" s="117">
        <v>9.0</v>
      </c>
      <c r="D313" s="117" t="s">
        <v>604</v>
      </c>
      <c r="E313" s="114"/>
      <c r="F313" s="114"/>
      <c r="G313" s="114"/>
    </row>
    <row r="314">
      <c r="A314" s="116" t="s">
        <v>605</v>
      </c>
      <c r="B314" s="117" t="s">
        <v>606</v>
      </c>
      <c r="C314" s="117">
        <v>1.0</v>
      </c>
      <c r="D314" s="117" t="s">
        <v>606</v>
      </c>
      <c r="E314" s="114"/>
      <c r="F314" s="114"/>
      <c r="G314" s="114"/>
    </row>
    <row r="315">
      <c r="A315" s="116" t="s">
        <v>607</v>
      </c>
      <c r="B315" s="117" t="s">
        <v>608</v>
      </c>
      <c r="C315" s="117">
        <v>5.0</v>
      </c>
      <c r="D315" s="117" t="s">
        <v>609</v>
      </c>
      <c r="E315" s="114"/>
      <c r="F315" s="114"/>
      <c r="G315" s="114"/>
    </row>
    <row r="316">
      <c r="A316" s="116" t="s">
        <v>610</v>
      </c>
      <c r="B316" s="117" t="s">
        <v>611</v>
      </c>
      <c r="C316" s="117">
        <v>2.0</v>
      </c>
      <c r="D316" s="117" t="s">
        <v>612</v>
      </c>
      <c r="E316" s="114"/>
      <c r="F316" s="114"/>
      <c r="G316" s="114"/>
    </row>
    <row r="317">
      <c r="A317" s="116" t="s">
        <v>613</v>
      </c>
      <c r="B317" s="117" t="s">
        <v>614</v>
      </c>
      <c r="C317" s="117">
        <v>10.0</v>
      </c>
      <c r="D317" s="117" t="s">
        <v>615</v>
      </c>
      <c r="E317" s="114"/>
      <c r="F317" s="114"/>
      <c r="G317" s="114"/>
    </row>
    <row r="318">
      <c r="A318" s="116" t="s">
        <v>616</v>
      </c>
      <c r="B318" s="117" t="s">
        <v>611</v>
      </c>
      <c r="C318" s="117">
        <v>2.0</v>
      </c>
      <c r="D318" s="117" t="s">
        <v>612</v>
      </c>
      <c r="E318" s="114"/>
      <c r="F318" s="114"/>
      <c r="G318" s="114"/>
    </row>
    <row r="319">
      <c r="A319" s="116" t="s">
        <v>617</v>
      </c>
      <c r="B319" s="117" t="s">
        <v>611</v>
      </c>
      <c r="C319" s="117">
        <v>15.0</v>
      </c>
      <c r="D319" s="117" t="s">
        <v>618</v>
      </c>
      <c r="E319" s="114"/>
      <c r="F319" s="114"/>
      <c r="G319" s="114"/>
    </row>
    <row r="320">
      <c r="A320" s="116" t="s">
        <v>619</v>
      </c>
      <c r="B320" s="117" t="s">
        <v>620</v>
      </c>
      <c r="C320" s="117">
        <v>1.0</v>
      </c>
      <c r="D320" s="117" t="s">
        <v>620</v>
      </c>
      <c r="E320" s="114"/>
      <c r="F320" s="114"/>
      <c r="G320" s="114"/>
    </row>
    <row r="321">
      <c r="A321" s="118"/>
      <c r="B321" s="118"/>
      <c r="C321" s="115" t="s">
        <v>20</v>
      </c>
      <c r="D321" s="115" t="s">
        <v>621</v>
      </c>
      <c r="E321" s="114"/>
      <c r="F321" s="114"/>
      <c r="G321" s="114"/>
    </row>
    <row r="322">
      <c r="A322" s="114"/>
      <c r="B322" s="114"/>
      <c r="C322" s="114"/>
      <c r="D322" s="114"/>
      <c r="E322" s="114"/>
      <c r="F322" s="114"/>
      <c r="G322" s="114"/>
    </row>
    <row r="323">
      <c r="A323" s="114"/>
      <c r="B323" s="114"/>
      <c r="C323" s="114"/>
      <c r="D323" s="114"/>
      <c r="E323" s="114"/>
      <c r="F323" s="114"/>
      <c r="G323" s="114"/>
    </row>
    <row r="324">
      <c r="A324" s="115" t="s">
        <v>163</v>
      </c>
      <c r="B324" s="113" t="s">
        <v>164</v>
      </c>
      <c r="C324" s="8"/>
      <c r="D324" s="114"/>
      <c r="E324" s="114"/>
      <c r="F324" s="114"/>
      <c r="G324" s="114"/>
    </row>
    <row r="325">
      <c r="A325" s="117" t="s">
        <v>622</v>
      </c>
      <c r="B325" s="119" t="s">
        <v>407</v>
      </c>
      <c r="C325" s="8"/>
      <c r="D325" s="114"/>
      <c r="E325" s="114"/>
      <c r="F325" s="114"/>
      <c r="G325" s="114"/>
    </row>
    <row r="326">
      <c r="A326" s="117" t="s">
        <v>623</v>
      </c>
      <c r="B326" s="119" t="s">
        <v>429</v>
      </c>
      <c r="C326" s="8"/>
      <c r="D326" s="114"/>
      <c r="E326" s="114"/>
      <c r="F326" s="114"/>
      <c r="G326" s="114"/>
    </row>
    <row r="327">
      <c r="A327" s="117" t="s">
        <v>624</v>
      </c>
      <c r="B327" s="119" t="s">
        <v>445</v>
      </c>
      <c r="C327" s="8"/>
      <c r="D327" s="114"/>
      <c r="E327" s="114"/>
      <c r="F327" s="114"/>
      <c r="G327" s="114"/>
    </row>
    <row r="328">
      <c r="A328" s="117" t="s">
        <v>625</v>
      </c>
      <c r="B328" s="119" t="s">
        <v>480</v>
      </c>
      <c r="C328" s="8"/>
      <c r="D328" s="114"/>
      <c r="E328" s="114"/>
      <c r="F328" s="114"/>
      <c r="G328" s="114"/>
    </row>
    <row r="329">
      <c r="A329" s="117" t="s">
        <v>626</v>
      </c>
      <c r="B329" s="119" t="s">
        <v>496</v>
      </c>
      <c r="C329" s="8"/>
      <c r="D329" s="114"/>
      <c r="E329" s="114"/>
      <c r="F329" s="114"/>
      <c r="G329" s="114"/>
    </row>
    <row r="330">
      <c r="A330" s="117" t="s">
        <v>627</v>
      </c>
      <c r="B330" s="119" t="s">
        <v>505</v>
      </c>
      <c r="C330" s="8"/>
      <c r="D330" s="114"/>
      <c r="E330" s="114"/>
      <c r="F330" s="114"/>
      <c r="G330" s="114"/>
    </row>
    <row r="331">
      <c r="A331" s="117" t="s">
        <v>628</v>
      </c>
      <c r="B331" s="119" t="s">
        <v>545</v>
      </c>
      <c r="C331" s="8"/>
      <c r="D331" s="114"/>
      <c r="E331" s="114"/>
      <c r="F331" s="114"/>
      <c r="G331" s="114"/>
    </row>
    <row r="332">
      <c r="A332" s="117" t="s">
        <v>629</v>
      </c>
      <c r="B332" s="119" t="s">
        <v>580</v>
      </c>
      <c r="C332" s="8"/>
      <c r="D332" s="114"/>
      <c r="E332" s="114"/>
      <c r="F332" s="114"/>
      <c r="G332" s="114"/>
    </row>
    <row r="333">
      <c r="A333" s="117" t="s">
        <v>630</v>
      </c>
      <c r="B333" s="119" t="s">
        <v>621</v>
      </c>
      <c r="C333" s="8"/>
      <c r="D333" s="114"/>
      <c r="E333" s="114"/>
      <c r="F333" s="114"/>
      <c r="G333" s="114"/>
    </row>
    <row r="334">
      <c r="A334" s="115" t="s">
        <v>20</v>
      </c>
      <c r="B334" s="113" t="s">
        <v>631</v>
      </c>
      <c r="C334" s="8"/>
      <c r="D334" s="114"/>
      <c r="E334" s="114"/>
      <c r="F334" s="114"/>
      <c r="G334" s="114"/>
    </row>
    <row r="335">
      <c r="A335" s="114"/>
      <c r="B335" s="114"/>
      <c r="C335" s="114"/>
      <c r="D335" s="114"/>
      <c r="E335" s="114"/>
      <c r="F335" s="114"/>
      <c r="G335" s="114"/>
    </row>
    <row r="336">
      <c r="A336" s="114"/>
      <c r="B336" s="114"/>
      <c r="C336" s="114"/>
      <c r="D336" s="114"/>
      <c r="E336" s="114"/>
      <c r="F336" s="114"/>
      <c r="G336" s="114"/>
    </row>
    <row r="337">
      <c r="A337" s="115" t="s">
        <v>38</v>
      </c>
      <c r="B337" s="115" t="s">
        <v>632</v>
      </c>
      <c r="C337" s="115" t="s">
        <v>633</v>
      </c>
      <c r="D337" s="115" t="s">
        <v>634</v>
      </c>
      <c r="E337" s="115" t="s">
        <v>39</v>
      </c>
      <c r="F337" s="114"/>
      <c r="G337" s="114"/>
    </row>
    <row r="338">
      <c r="A338" s="116" t="s">
        <v>635</v>
      </c>
      <c r="B338" s="117" t="s">
        <v>636</v>
      </c>
      <c r="C338" s="117" t="s">
        <v>637</v>
      </c>
      <c r="D338" s="123" t="s">
        <v>638</v>
      </c>
      <c r="E338" s="117" t="s">
        <v>639</v>
      </c>
      <c r="F338" s="114"/>
      <c r="G338" s="114"/>
    </row>
    <row r="339">
      <c r="A339" s="116" t="s">
        <v>640</v>
      </c>
      <c r="B339" s="117" t="s">
        <v>641</v>
      </c>
      <c r="C339" s="117" t="s">
        <v>642</v>
      </c>
      <c r="D339" s="40"/>
      <c r="E339" s="117" t="s">
        <v>643</v>
      </c>
      <c r="F339" s="114"/>
      <c r="G339" s="114"/>
    </row>
    <row r="340">
      <c r="A340" s="118"/>
      <c r="B340" s="118"/>
      <c r="C340" s="118"/>
      <c r="D340" s="115" t="s">
        <v>20</v>
      </c>
      <c r="E340" s="115" t="s">
        <v>644</v>
      </c>
      <c r="F340" s="114"/>
      <c r="G340" s="114"/>
    </row>
    <row r="341">
      <c r="A341" s="114"/>
      <c r="B341" s="114"/>
      <c r="C341" s="114"/>
      <c r="D341" s="114"/>
      <c r="E341" s="114"/>
      <c r="F341" s="114"/>
      <c r="G341" s="114"/>
    </row>
    <row r="342">
      <c r="A342" s="114"/>
      <c r="B342" s="114"/>
      <c r="C342" s="114"/>
      <c r="D342" s="114"/>
      <c r="E342" s="114"/>
      <c r="F342" s="114"/>
      <c r="G342" s="114"/>
    </row>
    <row r="343">
      <c r="A343" s="115" t="s">
        <v>645</v>
      </c>
      <c r="B343" s="115" t="s">
        <v>646</v>
      </c>
      <c r="C343" s="115" t="s">
        <v>647</v>
      </c>
      <c r="D343" s="115" t="s">
        <v>39</v>
      </c>
      <c r="E343" s="114"/>
      <c r="F343" s="114"/>
      <c r="G343" s="114"/>
    </row>
    <row r="344">
      <c r="A344" s="116" t="s">
        <v>44</v>
      </c>
      <c r="B344" s="117" t="s">
        <v>648</v>
      </c>
      <c r="C344" s="117" t="s">
        <v>649</v>
      </c>
      <c r="D344" s="117" t="s">
        <v>650</v>
      </c>
      <c r="E344" s="114"/>
      <c r="F344" s="114"/>
      <c r="G344" s="114"/>
    </row>
    <row r="345">
      <c r="A345" s="116" t="s">
        <v>651</v>
      </c>
      <c r="B345" s="117" t="s">
        <v>652</v>
      </c>
      <c r="C345" s="117" t="s">
        <v>649</v>
      </c>
      <c r="D345" s="117" t="s">
        <v>653</v>
      </c>
      <c r="E345" s="114"/>
      <c r="F345" s="114"/>
      <c r="G345" s="114"/>
    </row>
    <row r="346">
      <c r="A346" s="116" t="s">
        <v>654</v>
      </c>
      <c r="B346" s="117" t="s">
        <v>655</v>
      </c>
      <c r="C346" s="117" t="s">
        <v>656</v>
      </c>
      <c r="D346" s="117" t="s">
        <v>657</v>
      </c>
      <c r="E346" s="114"/>
      <c r="F346" s="114"/>
      <c r="G346" s="114"/>
    </row>
    <row r="347">
      <c r="A347" s="118"/>
      <c r="B347" s="118"/>
      <c r="C347" s="115" t="s">
        <v>20</v>
      </c>
      <c r="D347" s="115" t="s">
        <v>658</v>
      </c>
      <c r="E347" s="114"/>
      <c r="F347" s="114"/>
      <c r="G347" s="114"/>
    </row>
    <row r="348">
      <c r="A348" s="114"/>
      <c r="B348" s="114"/>
      <c r="C348" s="114"/>
      <c r="D348" s="114"/>
      <c r="E348" s="114"/>
      <c r="F348" s="114"/>
      <c r="G348" s="114"/>
    </row>
    <row r="349">
      <c r="A349" s="114"/>
      <c r="B349" s="114"/>
      <c r="C349" s="114"/>
      <c r="D349" s="114"/>
      <c r="E349" s="114"/>
      <c r="F349" s="114"/>
      <c r="G349" s="114"/>
    </row>
    <row r="350">
      <c r="A350" s="115" t="s">
        <v>38</v>
      </c>
      <c r="B350" s="115" t="s">
        <v>39</v>
      </c>
      <c r="C350" s="114"/>
      <c r="D350" s="114"/>
      <c r="E350" s="114"/>
      <c r="F350" s="114"/>
      <c r="G350" s="114"/>
    </row>
    <row r="351">
      <c r="A351" s="116" t="s">
        <v>659</v>
      </c>
      <c r="B351" s="117" t="s">
        <v>660</v>
      </c>
      <c r="C351" s="114"/>
      <c r="D351" s="114"/>
      <c r="E351" s="114"/>
      <c r="F351" s="114"/>
      <c r="G351" s="114"/>
    </row>
    <row r="352">
      <c r="A352" s="116" t="s">
        <v>661</v>
      </c>
      <c r="B352" s="117" t="s">
        <v>662</v>
      </c>
      <c r="C352" s="114"/>
      <c r="D352" s="114"/>
      <c r="E352" s="114"/>
      <c r="F352" s="114"/>
      <c r="G352" s="114"/>
    </row>
    <row r="353">
      <c r="A353" s="116" t="s">
        <v>663</v>
      </c>
      <c r="B353" s="117" t="s">
        <v>664</v>
      </c>
      <c r="C353" s="114"/>
      <c r="D353" s="114"/>
      <c r="E353" s="114"/>
      <c r="F353" s="114"/>
      <c r="G353" s="114"/>
    </row>
    <row r="354">
      <c r="A354" s="116" t="s">
        <v>665</v>
      </c>
      <c r="B354" s="117" t="s">
        <v>666</v>
      </c>
      <c r="C354" s="114"/>
      <c r="D354" s="114"/>
      <c r="E354" s="114"/>
      <c r="F354" s="114"/>
      <c r="G354" s="114"/>
    </row>
    <row r="355">
      <c r="A355" s="115" t="s">
        <v>20</v>
      </c>
      <c r="B355" s="115" t="s">
        <v>667</v>
      </c>
      <c r="C355" s="114"/>
      <c r="D355" s="114"/>
      <c r="E355" s="114"/>
      <c r="F355" s="114"/>
      <c r="G355" s="114"/>
    </row>
    <row r="356">
      <c r="A356" s="114"/>
      <c r="B356" s="114"/>
      <c r="C356" s="114"/>
      <c r="D356" s="114"/>
      <c r="E356" s="114"/>
      <c r="F356" s="114"/>
      <c r="G356" s="114"/>
    </row>
    <row r="357">
      <c r="A357" s="114"/>
      <c r="B357" s="114"/>
      <c r="C357" s="114"/>
      <c r="D357" s="114"/>
      <c r="E357" s="114"/>
      <c r="F357" s="114"/>
      <c r="G357" s="114"/>
    </row>
    <row r="358">
      <c r="A358" s="114"/>
      <c r="B358" s="114"/>
      <c r="C358" s="114"/>
      <c r="D358" s="114"/>
      <c r="E358" s="114"/>
      <c r="F358" s="114"/>
      <c r="G358" s="114"/>
    </row>
  </sheetData>
  <mergeCells count="84">
    <mergeCell ref="A143:E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B154:C154"/>
    <mergeCell ref="B155:C155"/>
    <mergeCell ref="B156:C156"/>
    <mergeCell ref="B157:C157"/>
    <mergeCell ref="A160:E160"/>
    <mergeCell ref="A200:E200"/>
    <mergeCell ref="A209:E209"/>
    <mergeCell ref="A219:E219"/>
    <mergeCell ref="A229:E229"/>
    <mergeCell ref="A250:E250"/>
    <mergeCell ref="A260:E260"/>
    <mergeCell ref="A268:E268"/>
    <mergeCell ref="B329:C329"/>
    <mergeCell ref="B330:C330"/>
    <mergeCell ref="B331:C331"/>
    <mergeCell ref="B332:C332"/>
    <mergeCell ref="B333:C333"/>
    <mergeCell ref="B334:C334"/>
    <mergeCell ref="D338:D339"/>
    <mergeCell ref="A287:D287"/>
    <mergeCell ref="A304:D304"/>
    <mergeCell ref="B324:C324"/>
    <mergeCell ref="B325:C325"/>
    <mergeCell ref="B326:C326"/>
    <mergeCell ref="B327:C327"/>
    <mergeCell ref="B328:C328"/>
    <mergeCell ref="A15:E15"/>
    <mergeCell ref="A28:E28"/>
    <mergeCell ref="A38:E38"/>
    <mergeCell ref="A51:E51"/>
    <mergeCell ref="B58:C58"/>
    <mergeCell ref="B59:C59"/>
    <mergeCell ref="B60:C60"/>
    <mergeCell ref="B61:C61"/>
    <mergeCell ref="B62:C62"/>
    <mergeCell ref="B63:C63"/>
    <mergeCell ref="A66:F66"/>
    <mergeCell ref="A84:E84"/>
    <mergeCell ref="A99:E99"/>
    <mergeCell ref="B110:C110"/>
    <mergeCell ref="B111:C111"/>
    <mergeCell ref="B112:C112"/>
    <mergeCell ref="B113:C113"/>
    <mergeCell ref="A116:E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68:F168"/>
    <mergeCell ref="D169:E169"/>
    <mergeCell ref="D170:E170"/>
    <mergeCell ref="D171:E171"/>
    <mergeCell ref="A174:F174"/>
    <mergeCell ref="A179:D179"/>
    <mergeCell ref="A190:D190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2.71"/>
    <col customWidth="1" min="2" max="2" width="17.71"/>
    <col customWidth="1" min="3" max="3" width="15.71"/>
    <col customWidth="1" min="4" max="4" width="15.86"/>
    <col customWidth="1" min="5" max="5" width="15.0"/>
    <col customWidth="1" min="6" max="6" width="17.57"/>
  </cols>
  <sheetData>
    <row r="1">
      <c r="A1" s="124" t="s">
        <v>668</v>
      </c>
      <c r="B1" s="124" t="s">
        <v>669</v>
      </c>
      <c r="C1" s="124" t="s">
        <v>670</v>
      </c>
      <c r="D1" s="125" t="s">
        <v>671</v>
      </c>
      <c r="E1" s="39"/>
      <c r="F1" s="8"/>
      <c r="G1" s="6"/>
      <c r="H1" s="6"/>
      <c r="I1" s="6"/>
      <c r="J1" s="6"/>
      <c r="K1" s="6"/>
      <c r="L1" s="6"/>
    </row>
    <row r="2">
      <c r="A2" s="126">
        <v>10.0</v>
      </c>
      <c r="B2" s="127" t="s">
        <v>672</v>
      </c>
      <c r="C2" s="126" t="s">
        <v>673</v>
      </c>
      <c r="D2" s="128" t="s">
        <v>674</v>
      </c>
      <c r="E2" s="39"/>
      <c r="F2" s="8"/>
      <c r="G2" s="129"/>
      <c r="H2" s="6"/>
      <c r="I2" s="6"/>
      <c r="J2" s="6"/>
      <c r="K2" s="6"/>
      <c r="L2" s="6"/>
    </row>
    <row r="3">
      <c r="A3" s="126">
        <v>35.0</v>
      </c>
      <c r="B3" s="127" t="s">
        <v>675</v>
      </c>
      <c r="C3" s="126" t="s">
        <v>676</v>
      </c>
      <c r="D3" s="128" t="s">
        <v>677</v>
      </c>
      <c r="E3" s="39"/>
      <c r="F3" s="8"/>
      <c r="G3" s="6"/>
      <c r="H3" s="6"/>
      <c r="I3" s="6"/>
      <c r="J3" s="6"/>
      <c r="K3" s="6"/>
      <c r="L3" s="6"/>
    </row>
    <row r="4">
      <c r="A4" s="126">
        <v>120.0</v>
      </c>
      <c r="B4" s="127" t="s">
        <v>678</v>
      </c>
      <c r="C4" s="126" t="s">
        <v>679</v>
      </c>
      <c r="D4" s="128" t="s">
        <v>680</v>
      </c>
      <c r="E4" s="39"/>
      <c r="F4" s="8"/>
      <c r="G4" s="6"/>
      <c r="H4" s="6"/>
      <c r="I4" s="6"/>
      <c r="J4" s="6"/>
      <c r="K4" s="6"/>
      <c r="L4" s="6"/>
    </row>
    <row r="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>
      <c r="A6" s="130"/>
      <c r="B6" s="131" t="s">
        <v>681</v>
      </c>
      <c r="C6" s="8"/>
      <c r="D6" s="131" t="s">
        <v>682</v>
      </c>
      <c r="E6" s="39"/>
      <c r="F6" s="8"/>
      <c r="G6" s="6"/>
      <c r="H6" s="6"/>
      <c r="I6" s="6"/>
      <c r="J6" s="6"/>
      <c r="K6" s="6"/>
      <c r="L6" s="6"/>
    </row>
    <row r="7">
      <c r="A7" s="132" t="s">
        <v>683</v>
      </c>
      <c r="B7" s="132" t="s">
        <v>668</v>
      </c>
      <c r="C7" s="132" t="s">
        <v>684</v>
      </c>
      <c r="D7" s="132" t="s">
        <v>685</v>
      </c>
      <c r="E7" s="132" t="s">
        <v>686</v>
      </c>
      <c r="F7" s="132" t="s">
        <v>687</v>
      </c>
      <c r="G7" s="6"/>
      <c r="H7" s="6"/>
      <c r="I7" s="6"/>
      <c r="J7" s="6"/>
      <c r="K7" s="6"/>
      <c r="L7" s="6"/>
    </row>
    <row r="8">
      <c r="A8" s="104" t="s">
        <v>673</v>
      </c>
      <c r="B8" s="127">
        <v>10.0</v>
      </c>
      <c r="C8" s="127">
        <f t="shared" ref="C8:C10" si="1">B8*8</f>
        <v>80</v>
      </c>
      <c r="D8" s="133">
        <v>748.3</v>
      </c>
      <c r="E8" s="134">
        <f>C8*D8</f>
        <v>59864</v>
      </c>
      <c r="F8" s="135">
        <f t="shared" ref="F8:F10" si="2">4*E8</f>
        <v>239456</v>
      </c>
      <c r="G8" s="6"/>
      <c r="H8" s="6"/>
      <c r="I8" s="6"/>
      <c r="J8" s="6"/>
      <c r="K8" s="6"/>
      <c r="L8" s="6"/>
    </row>
    <row r="9">
      <c r="A9" s="104" t="s">
        <v>676</v>
      </c>
      <c r="B9" s="127">
        <v>35.0</v>
      </c>
      <c r="C9" s="127">
        <f t="shared" si="1"/>
        <v>280</v>
      </c>
      <c r="D9" s="100"/>
      <c r="E9" s="134">
        <f>C9*D8</f>
        <v>209524</v>
      </c>
      <c r="F9" s="135">
        <f t="shared" si="2"/>
        <v>838096</v>
      </c>
      <c r="G9" s="6"/>
      <c r="H9" s="6"/>
      <c r="I9" s="6"/>
      <c r="J9" s="6"/>
      <c r="K9" s="6"/>
      <c r="L9" s="6"/>
    </row>
    <row r="10">
      <c r="A10" s="104" t="s">
        <v>679</v>
      </c>
      <c r="B10" s="127">
        <v>120.0</v>
      </c>
      <c r="C10" s="127">
        <f t="shared" si="1"/>
        <v>960</v>
      </c>
      <c r="D10" s="40"/>
      <c r="E10" s="134">
        <f>C10*D8</f>
        <v>718368</v>
      </c>
      <c r="F10" s="135">
        <f t="shared" si="2"/>
        <v>2873472</v>
      </c>
      <c r="G10" s="6"/>
      <c r="H10" s="6"/>
      <c r="I10" s="6"/>
      <c r="J10" s="6"/>
      <c r="K10" s="6"/>
      <c r="L10" s="6"/>
    </row>
    <row r="11">
      <c r="A11" s="6"/>
      <c r="B11" s="6"/>
      <c r="C11" s="6"/>
      <c r="D11" s="6"/>
      <c r="E11" s="6"/>
      <c r="F11" s="6"/>
      <c r="G11" s="136"/>
      <c r="H11" s="6"/>
      <c r="I11" s="6"/>
      <c r="J11" s="6"/>
      <c r="K11" s="6"/>
      <c r="L11" s="6"/>
    </row>
    <row r="12">
      <c r="A12" s="6"/>
      <c r="B12" s="6"/>
      <c r="C12" s="6"/>
      <c r="D12" s="6"/>
      <c r="E12" s="6"/>
      <c r="F12" s="6"/>
      <c r="G12" s="136"/>
      <c r="H12" s="137"/>
      <c r="I12" s="6"/>
      <c r="J12" s="6"/>
      <c r="K12" s="6"/>
      <c r="L12" s="6"/>
    </row>
    <row r="13">
      <c r="A13" s="6"/>
      <c r="B13" s="6"/>
      <c r="C13" s="6"/>
      <c r="D13" s="6"/>
      <c r="E13" s="6"/>
      <c r="F13" s="6"/>
      <c r="G13" s="136"/>
      <c r="H13" s="6"/>
      <c r="I13" s="6"/>
      <c r="J13" s="6"/>
      <c r="K13" s="6"/>
      <c r="L13" s="6"/>
    </row>
    <row r="14">
      <c r="A14" s="6"/>
      <c r="B14" s="6"/>
      <c r="C14" s="6"/>
      <c r="D14" s="6"/>
      <c r="E14" s="6"/>
      <c r="F14" s="6"/>
      <c r="G14" s="138"/>
      <c r="H14" s="139"/>
      <c r="I14" s="6"/>
      <c r="J14" s="6"/>
      <c r="K14" s="6"/>
      <c r="L14" s="6"/>
    </row>
    <row r="15">
      <c r="A15" s="6"/>
      <c r="B15" s="6"/>
      <c r="C15" s="6"/>
      <c r="D15" s="6"/>
      <c r="E15" s="6"/>
      <c r="F15" s="6"/>
      <c r="G15" s="138"/>
      <c r="H15" s="139"/>
      <c r="I15" s="6"/>
      <c r="J15" s="6"/>
      <c r="K15" s="6"/>
      <c r="L15" s="6"/>
    </row>
    <row r="16">
      <c r="A16" s="6"/>
      <c r="B16" s="6"/>
      <c r="C16" s="6"/>
      <c r="D16" s="6"/>
      <c r="E16" s="6"/>
      <c r="F16" s="6"/>
      <c r="G16" s="138"/>
      <c r="H16" s="139"/>
      <c r="I16" s="6"/>
      <c r="J16" s="6"/>
      <c r="K16" s="6"/>
      <c r="L16" s="6"/>
    </row>
    <row r="17">
      <c r="F17" s="140"/>
    </row>
    <row r="25">
      <c r="A25" s="141" t="s">
        <v>686</v>
      </c>
    </row>
    <row r="27">
      <c r="A27" s="141" t="s">
        <v>688</v>
      </c>
    </row>
    <row r="29">
      <c r="A29" s="141" t="s">
        <v>687</v>
      </c>
    </row>
    <row r="31">
      <c r="A31" s="141" t="s">
        <v>689</v>
      </c>
    </row>
    <row r="33">
      <c r="A33" s="141" t="s">
        <v>690</v>
      </c>
    </row>
    <row r="34">
      <c r="A34" s="141" t="s">
        <v>691</v>
      </c>
    </row>
    <row r="35">
      <c r="A35" s="141" t="s">
        <v>692</v>
      </c>
    </row>
    <row r="36">
      <c r="A36" s="141" t="s">
        <v>693</v>
      </c>
    </row>
    <row r="37">
      <c r="A37" s="141" t="s">
        <v>694</v>
      </c>
    </row>
    <row r="38">
      <c r="A38" s="141" t="s">
        <v>695</v>
      </c>
    </row>
    <row r="39">
      <c r="A39" s="141" t="s">
        <v>696</v>
      </c>
    </row>
    <row r="40">
      <c r="A40" s="141" t="s">
        <v>697</v>
      </c>
    </row>
    <row r="41">
      <c r="A41" s="141" t="s">
        <v>698</v>
      </c>
    </row>
    <row r="42">
      <c r="A42" s="141" t="s">
        <v>699</v>
      </c>
    </row>
    <row r="43">
      <c r="A43" s="141" t="s">
        <v>700</v>
      </c>
    </row>
    <row r="44">
      <c r="A44" s="141" t="s">
        <v>701</v>
      </c>
    </row>
    <row r="45">
      <c r="A45" s="141" t="s">
        <v>702</v>
      </c>
    </row>
    <row r="46">
      <c r="A46" s="141" t="s">
        <v>703</v>
      </c>
    </row>
    <row r="47">
      <c r="A47" s="141" t="s">
        <v>704</v>
      </c>
    </row>
    <row r="48">
      <c r="A48" s="141" t="s">
        <v>705</v>
      </c>
    </row>
    <row r="49">
      <c r="A49" s="141" t="s">
        <v>706</v>
      </c>
    </row>
    <row r="50">
      <c r="A50" s="141" t="s">
        <v>707</v>
      </c>
    </row>
    <row r="51">
      <c r="A51" s="141" t="s">
        <v>708</v>
      </c>
    </row>
    <row r="52">
      <c r="A52" s="141" t="s">
        <v>709</v>
      </c>
    </row>
    <row r="53">
      <c r="A53" s="141" t="s">
        <v>710</v>
      </c>
    </row>
    <row r="54">
      <c r="A54" s="141" t="s">
        <v>711</v>
      </c>
    </row>
    <row r="55">
      <c r="A55" s="141" t="s">
        <v>712</v>
      </c>
    </row>
    <row r="56">
      <c r="A56" s="141" t="s">
        <v>713</v>
      </c>
    </row>
    <row r="57">
      <c r="A57" s="141" t="s">
        <v>714</v>
      </c>
    </row>
    <row r="58">
      <c r="A58" s="141" t="s">
        <v>715</v>
      </c>
    </row>
    <row r="59">
      <c r="A59" s="141" t="s">
        <v>716</v>
      </c>
    </row>
    <row r="60">
      <c r="A60" s="141" t="s">
        <v>717</v>
      </c>
    </row>
    <row r="61">
      <c r="A61" s="141" t="s">
        <v>718</v>
      </c>
    </row>
  </sheetData>
  <mergeCells count="7">
    <mergeCell ref="D1:F1"/>
    <mergeCell ref="D2:F2"/>
    <mergeCell ref="D3:F3"/>
    <mergeCell ref="D4:F4"/>
    <mergeCell ref="B6:C6"/>
    <mergeCell ref="D6:F6"/>
    <mergeCell ref="D8:D10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9.43"/>
    <col customWidth="1" min="2" max="2" width="29.14"/>
    <col customWidth="1" min="3" max="3" width="16.14"/>
    <col customWidth="1" min="4" max="4" width="16.0"/>
    <col customWidth="1" min="5" max="5" width="15.86"/>
    <col customWidth="1" min="6" max="6" width="16.86"/>
  </cols>
  <sheetData>
    <row r="1">
      <c r="A1" s="142"/>
      <c r="B1" s="143" t="s">
        <v>719</v>
      </c>
      <c r="C1" s="125" t="s">
        <v>720</v>
      </c>
      <c r="D1" s="39"/>
      <c r="E1" s="8"/>
      <c r="F1" s="6"/>
      <c r="G1" s="6"/>
      <c r="H1" s="6"/>
    </row>
    <row r="2">
      <c r="A2" s="40"/>
      <c r="B2" s="40"/>
      <c r="C2" s="101" t="s">
        <v>721</v>
      </c>
      <c r="D2" s="101" t="s">
        <v>722</v>
      </c>
      <c r="E2" s="101" t="s">
        <v>723</v>
      </c>
      <c r="F2" s="6"/>
      <c r="G2" s="6"/>
      <c r="H2" s="6"/>
    </row>
    <row r="3">
      <c r="A3" s="144" t="s">
        <v>724</v>
      </c>
      <c r="B3" s="145" t="s">
        <v>725</v>
      </c>
      <c r="C3" s="146">
        <f>82.8*8000</f>
        <v>662400</v>
      </c>
      <c r="D3" s="146">
        <f>78.44*8000</f>
        <v>627520</v>
      </c>
      <c r="E3" s="146">
        <f>95.87*8000</f>
        <v>766960</v>
      </c>
      <c r="F3" s="6"/>
      <c r="G3" s="6"/>
      <c r="H3" s="6"/>
    </row>
    <row r="4">
      <c r="A4" s="100"/>
      <c r="B4" s="145" t="s">
        <v>726</v>
      </c>
      <c r="C4" s="147">
        <f>'Aumento del consumo eléctrico'!B15</f>
        <v>6077.364045</v>
      </c>
      <c r="D4" s="147">
        <f>'Aumento del consumo eléctrico'!C15</f>
        <v>8950.044423</v>
      </c>
      <c r="E4" s="147">
        <f>'Aumento del consumo eléctrico'!D15</f>
        <v>13149.86018</v>
      </c>
      <c r="F4" s="6"/>
      <c r="G4" s="6"/>
      <c r="H4" s="6"/>
    </row>
    <row r="5">
      <c r="A5" s="40"/>
      <c r="B5" s="145" t="s">
        <v>630</v>
      </c>
      <c r="C5" s="148">
        <f>'Mano de obra'!D11*8*20</f>
        <v>107540.8</v>
      </c>
      <c r="D5" s="148">
        <f>8*'Mano de obra'!D11*20</f>
        <v>107540.8</v>
      </c>
      <c r="E5" s="148">
        <f>8*'Mano de obra'!D11*20</f>
        <v>107540.8</v>
      </c>
      <c r="F5" s="6"/>
      <c r="G5" s="6"/>
      <c r="H5" s="6"/>
    </row>
    <row r="6">
      <c r="A6" s="143" t="s">
        <v>727</v>
      </c>
      <c r="B6" s="145" t="s">
        <v>665</v>
      </c>
      <c r="C6" s="147">
        <v>55020.0</v>
      </c>
      <c r="D6" s="147">
        <v>55020.0</v>
      </c>
      <c r="E6" s="147">
        <v>55020.0</v>
      </c>
      <c r="F6" s="6"/>
      <c r="G6" s="6"/>
      <c r="H6" s="149"/>
      <c r="I6" s="150"/>
      <c r="J6" s="150"/>
    </row>
    <row r="7">
      <c r="A7" s="100"/>
      <c r="B7" s="145" t="s">
        <v>728</v>
      </c>
      <c r="C7" s="147">
        <v>1500.0</v>
      </c>
      <c r="D7" s="147">
        <v>1500.0</v>
      </c>
      <c r="E7" s="147">
        <v>1500.0</v>
      </c>
      <c r="F7" s="6"/>
      <c r="G7" s="6"/>
      <c r="H7" s="6"/>
    </row>
    <row r="8">
      <c r="A8" s="40"/>
      <c r="B8" s="41" t="s">
        <v>729</v>
      </c>
      <c r="C8" s="147">
        <v>6000.0</v>
      </c>
      <c r="D8" s="147">
        <v>6000.0</v>
      </c>
      <c r="E8" s="147">
        <v>6000.0</v>
      </c>
      <c r="F8" s="6"/>
      <c r="G8" s="6"/>
      <c r="H8" s="6"/>
    </row>
    <row r="9">
      <c r="A9" s="142"/>
      <c r="B9" s="151" t="s">
        <v>20</v>
      </c>
      <c r="C9" s="152">
        <f t="shared" ref="C9:E9" si="1">SUM(C3:C8)</f>
        <v>838538.164</v>
      </c>
      <c r="D9" s="152">
        <f t="shared" si="1"/>
        <v>806530.8444</v>
      </c>
      <c r="E9" s="152">
        <f t="shared" si="1"/>
        <v>950170.6602</v>
      </c>
      <c r="F9" s="6"/>
      <c r="G9" s="6"/>
      <c r="H9" s="6"/>
    </row>
    <row r="10">
      <c r="A10" s="153"/>
      <c r="B10" s="154"/>
      <c r="C10" s="155"/>
      <c r="D10" s="155"/>
      <c r="E10" s="155"/>
      <c r="F10" s="6"/>
      <c r="G10" s="6"/>
      <c r="H10" s="6"/>
    </row>
    <row r="11">
      <c r="A11" s="144" t="s">
        <v>730</v>
      </c>
      <c r="B11" s="156" t="s">
        <v>663</v>
      </c>
      <c r="C11" s="157">
        <f t="shared" ref="C11:E11" si="2">758.26*20</f>
        <v>15165.2</v>
      </c>
      <c r="D11" s="157">
        <f t="shared" si="2"/>
        <v>15165.2</v>
      </c>
      <c r="E11" s="157">
        <f t="shared" si="2"/>
        <v>15165.2</v>
      </c>
      <c r="F11" s="6"/>
      <c r="G11" s="6"/>
      <c r="H11" s="6"/>
    </row>
    <row r="12">
      <c r="A12" s="100"/>
      <c r="B12" s="156" t="s">
        <v>731</v>
      </c>
      <c r="C12" s="157">
        <f t="shared" ref="C12:E12" si="3">762.3*10</f>
        <v>7623</v>
      </c>
      <c r="D12" s="157">
        <f t="shared" si="3"/>
        <v>7623</v>
      </c>
      <c r="E12" s="157">
        <f t="shared" si="3"/>
        <v>7623</v>
      </c>
      <c r="F12" s="6"/>
      <c r="G12" s="6"/>
      <c r="H12" s="6"/>
    </row>
    <row r="13">
      <c r="A13" s="100"/>
      <c r="B13" s="41" t="s">
        <v>732</v>
      </c>
      <c r="C13" s="157">
        <f t="shared" ref="C13:E13" si="4">950*10</f>
        <v>9500</v>
      </c>
      <c r="D13" s="157">
        <f t="shared" si="4"/>
        <v>9500</v>
      </c>
      <c r="E13" s="157">
        <f t="shared" si="4"/>
        <v>9500</v>
      </c>
      <c r="F13" s="6"/>
      <c r="G13" s="6"/>
      <c r="H13" s="6"/>
    </row>
    <row r="14">
      <c r="A14" s="100"/>
      <c r="B14" s="41" t="s">
        <v>733</v>
      </c>
      <c r="C14" s="157">
        <f t="shared" ref="C14:E14" si="5">4060.21*4</f>
        <v>16240.84</v>
      </c>
      <c r="D14" s="157">
        <f t="shared" si="5"/>
        <v>16240.84</v>
      </c>
      <c r="E14" s="157">
        <f t="shared" si="5"/>
        <v>16240.84</v>
      </c>
      <c r="F14" s="6"/>
      <c r="G14" s="6"/>
      <c r="H14" s="6"/>
    </row>
    <row r="15">
      <c r="A15" s="40"/>
      <c r="B15" s="41" t="s">
        <v>734</v>
      </c>
      <c r="C15" s="157">
        <v>3500.0</v>
      </c>
      <c r="D15" s="157">
        <v>3500.0</v>
      </c>
      <c r="E15" s="157">
        <v>3500.0</v>
      </c>
      <c r="F15" s="6"/>
      <c r="G15" s="6"/>
      <c r="H15" s="6"/>
    </row>
    <row r="16">
      <c r="A16" s="158"/>
      <c r="B16" s="159" t="s">
        <v>20</v>
      </c>
      <c r="C16" s="160">
        <f t="shared" ref="C16:E16" si="6">SUM(C11:C15)</f>
        <v>52029.04</v>
      </c>
      <c r="D16" s="160">
        <f t="shared" si="6"/>
        <v>52029.04</v>
      </c>
      <c r="E16" s="160">
        <f t="shared" si="6"/>
        <v>52029.04</v>
      </c>
      <c r="F16" s="6"/>
      <c r="G16" s="36" t="s">
        <v>735</v>
      </c>
      <c r="H16" s="6"/>
    </row>
    <row r="17">
      <c r="G17" s="6"/>
      <c r="H17" s="6"/>
    </row>
    <row r="18">
      <c r="G18" s="6"/>
      <c r="H18" s="6"/>
    </row>
    <row r="19">
      <c r="A19" s="131" t="s">
        <v>736</v>
      </c>
      <c r="B19" s="8"/>
      <c r="C19" s="21">
        <f t="shared" ref="C19:E19" si="7">C9/8000</f>
        <v>104.8172705</v>
      </c>
      <c r="D19" s="21">
        <f t="shared" si="7"/>
        <v>100.8163556</v>
      </c>
      <c r="E19" s="21">
        <f t="shared" si="7"/>
        <v>118.7713325</v>
      </c>
      <c r="F19" s="6"/>
      <c r="G19" s="6"/>
      <c r="H19" s="6"/>
    </row>
    <row r="20">
      <c r="A20" s="131" t="s">
        <v>737</v>
      </c>
      <c r="B20" s="8"/>
      <c r="C20" s="24">
        <f t="shared" ref="C20:E20" si="8">C19+C16/4000</f>
        <v>117.8245305</v>
      </c>
      <c r="D20" s="24">
        <f t="shared" si="8"/>
        <v>113.8236156</v>
      </c>
      <c r="E20" s="24">
        <f t="shared" si="8"/>
        <v>131.7785925</v>
      </c>
      <c r="F20" s="6"/>
      <c r="G20" s="6"/>
      <c r="H20" s="6"/>
    </row>
    <row r="21">
      <c r="A21" s="131" t="s">
        <v>738</v>
      </c>
      <c r="B21" s="8"/>
      <c r="C21" s="24">
        <f t="shared" ref="C21:E21" si="9">C20*1.3</f>
        <v>153.1718897</v>
      </c>
      <c r="D21" s="24">
        <f t="shared" si="9"/>
        <v>147.9707002</v>
      </c>
      <c r="E21" s="24">
        <f t="shared" si="9"/>
        <v>171.3121703</v>
      </c>
      <c r="F21" s="6"/>
      <c r="G21" s="6"/>
      <c r="H21" s="6"/>
    </row>
    <row r="22">
      <c r="A22" s="131" t="s">
        <v>739</v>
      </c>
      <c r="B22" s="8"/>
      <c r="C22" s="21">
        <f t="shared" ref="C22:E22" si="10">C21-C19</f>
        <v>48.35461915</v>
      </c>
      <c r="D22" s="21">
        <f t="shared" si="10"/>
        <v>47.15434467</v>
      </c>
      <c r="E22" s="21">
        <f t="shared" si="10"/>
        <v>52.54083776</v>
      </c>
      <c r="F22" s="6"/>
      <c r="G22" s="6"/>
      <c r="H22" s="6"/>
    </row>
    <row r="23">
      <c r="A23" s="6"/>
      <c r="B23" s="6"/>
      <c r="C23" s="6"/>
      <c r="D23" s="6"/>
      <c r="E23" s="6"/>
      <c r="F23" s="6"/>
      <c r="G23" s="6"/>
      <c r="H23" s="6"/>
    </row>
    <row r="24">
      <c r="G24" s="6"/>
      <c r="H24" s="6"/>
    </row>
    <row r="25">
      <c r="A25" s="6"/>
      <c r="B25" s="6"/>
      <c r="C25" s="18">
        <v>0.6</v>
      </c>
      <c r="D25" s="18">
        <v>0.35</v>
      </c>
      <c r="E25" s="18">
        <v>0.05</v>
      </c>
      <c r="F25" s="6"/>
      <c r="G25" s="6"/>
      <c r="H25" s="6"/>
    </row>
    <row r="26">
      <c r="A26" s="131" t="s">
        <v>740</v>
      </c>
      <c r="B26" s="8"/>
      <c r="C26" s="161">
        <f t="shared" ref="C26:E26" si="11">4000*C25*10</f>
        <v>24000</v>
      </c>
      <c r="D26" s="161">
        <f t="shared" si="11"/>
        <v>14000</v>
      </c>
      <c r="E26" s="161">
        <f t="shared" si="11"/>
        <v>2000</v>
      </c>
      <c r="F26" s="159" t="s">
        <v>20</v>
      </c>
      <c r="G26" s="6"/>
      <c r="H26" s="6"/>
    </row>
    <row r="27">
      <c r="A27" s="131" t="s">
        <v>741</v>
      </c>
      <c r="B27" s="8"/>
      <c r="C27" s="21">
        <f t="shared" ref="C27:E27" si="12">C26*C22</f>
        <v>1160510.86</v>
      </c>
      <c r="D27" s="21">
        <f t="shared" si="12"/>
        <v>660160.8253</v>
      </c>
      <c r="E27" s="21">
        <f t="shared" si="12"/>
        <v>105081.6755</v>
      </c>
      <c r="F27" s="162">
        <f>SUM(C27:E27)</f>
        <v>1925753.36</v>
      </c>
      <c r="G27" s="6"/>
      <c r="H27" s="6"/>
    </row>
    <row r="28">
      <c r="A28" s="6"/>
      <c r="B28" s="6"/>
      <c r="C28" s="6"/>
      <c r="D28" s="6"/>
      <c r="E28" s="6"/>
      <c r="F28" s="6"/>
      <c r="G28" s="6"/>
      <c r="H28" s="6"/>
    </row>
    <row r="29">
      <c r="F29" s="6"/>
      <c r="G29" s="6"/>
      <c r="H29" s="6"/>
    </row>
    <row r="30">
      <c r="A30" s="6"/>
      <c r="B30" s="6"/>
      <c r="C30" s="18">
        <v>0.6</v>
      </c>
      <c r="D30" s="18">
        <v>0.35</v>
      </c>
      <c r="E30" s="18">
        <v>0.05</v>
      </c>
      <c r="F30" s="6"/>
      <c r="G30" s="6"/>
      <c r="H30" s="6"/>
    </row>
    <row r="31">
      <c r="A31" s="131" t="s">
        <v>742</v>
      </c>
      <c r="B31" s="8"/>
      <c r="C31" s="161">
        <f t="shared" ref="C31:E31" si="13">4000*C30</f>
        <v>2400</v>
      </c>
      <c r="D31" s="161">
        <f t="shared" si="13"/>
        <v>1400</v>
      </c>
      <c r="E31" s="161">
        <f t="shared" si="13"/>
        <v>200</v>
      </c>
      <c r="F31" s="159" t="s">
        <v>20</v>
      </c>
      <c r="G31" s="6"/>
      <c r="H31" s="6"/>
    </row>
    <row r="32">
      <c r="A32" s="131" t="s">
        <v>741</v>
      </c>
      <c r="B32" s="8"/>
      <c r="C32" s="21">
        <f t="shared" ref="C32:E32" si="14">C31*C22</f>
        <v>116051.086</v>
      </c>
      <c r="D32" s="21">
        <f t="shared" si="14"/>
        <v>66016.08253</v>
      </c>
      <c r="E32" s="21">
        <f t="shared" si="14"/>
        <v>10508.16755</v>
      </c>
      <c r="F32" s="162">
        <f>C32+D32+E32</f>
        <v>192575.336</v>
      </c>
    </row>
  </sheetData>
  <mergeCells count="14">
    <mergeCell ref="A20:B20"/>
    <mergeCell ref="A21:B21"/>
    <mergeCell ref="A22:B22"/>
    <mergeCell ref="A26:B26"/>
    <mergeCell ref="A27:B27"/>
    <mergeCell ref="A31:B31"/>
    <mergeCell ref="A32:B32"/>
    <mergeCell ref="A1:A2"/>
    <mergeCell ref="B1:B2"/>
    <mergeCell ref="C1:E1"/>
    <mergeCell ref="A3:A5"/>
    <mergeCell ref="A6:A8"/>
    <mergeCell ref="A11:A15"/>
    <mergeCell ref="A19:B19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6.0"/>
    <col customWidth="1" min="2" max="2" width="15.86"/>
    <col customWidth="1" min="4" max="4" width="17.57"/>
  </cols>
  <sheetData>
    <row r="1">
      <c r="A1" s="125" t="s">
        <v>743</v>
      </c>
      <c r="B1" s="39"/>
      <c r="C1" s="39"/>
      <c r="D1" s="8"/>
      <c r="G1" s="163"/>
    </row>
    <row r="2">
      <c r="A2" s="164">
        <v>0.55</v>
      </c>
      <c r="B2" s="128" t="s">
        <v>744</v>
      </c>
      <c r="C2" s="8"/>
      <c r="D2" s="165">
        <v>82.8</v>
      </c>
    </row>
    <row r="3">
      <c r="A3" s="164">
        <v>0.0</v>
      </c>
      <c r="B3" s="128" t="s">
        <v>745</v>
      </c>
      <c r="C3" s="8"/>
      <c r="D3" s="165">
        <v>0.65</v>
      </c>
    </row>
    <row r="4">
      <c r="A4" s="164">
        <v>0.21</v>
      </c>
      <c r="B4" s="166" t="s">
        <v>746</v>
      </c>
      <c r="C4" s="8"/>
      <c r="D4" s="165">
        <v>29.93</v>
      </c>
    </row>
    <row r="5">
      <c r="A5" s="164">
        <v>0.23</v>
      </c>
      <c r="B5" s="167" t="s">
        <v>747</v>
      </c>
      <c r="C5" s="8"/>
      <c r="D5" s="165">
        <v>28.55</v>
      </c>
    </row>
    <row r="6">
      <c r="A6" s="168">
        <v>1.0</v>
      </c>
      <c r="B6" s="169" t="s">
        <v>20</v>
      </c>
      <c r="C6" s="8"/>
      <c r="D6" s="170">
        <f>SUM(D2:D5)</f>
        <v>141.93</v>
      </c>
      <c r="E6" s="171">
        <f>D6*4000*10</f>
        <v>5677200</v>
      </c>
    </row>
    <row r="7">
      <c r="A7" s="172"/>
      <c r="B7" s="172"/>
      <c r="C7" s="172"/>
      <c r="D7" s="172"/>
    </row>
    <row r="8">
      <c r="A8" s="172"/>
      <c r="B8" s="172"/>
      <c r="C8" s="172"/>
      <c r="D8" s="172"/>
    </row>
    <row r="9">
      <c r="A9" s="125" t="s">
        <v>748</v>
      </c>
      <c r="B9" s="39"/>
      <c r="C9" s="8"/>
      <c r="D9" s="58">
        <f>'Venta de plástico'!C19</f>
        <v>104.8172705</v>
      </c>
      <c r="E9" s="171">
        <f>D9*4000*10</f>
        <v>4192690.82</v>
      </c>
    </row>
    <row r="10">
      <c r="A10" s="172"/>
      <c r="B10" s="172"/>
      <c r="C10" s="172"/>
      <c r="D10" s="172"/>
    </row>
    <row r="12">
      <c r="A12" s="125" t="s">
        <v>749</v>
      </c>
      <c r="B12" s="39"/>
      <c r="C12" s="8"/>
      <c r="D12" s="43">
        <f>D6-D9</f>
        <v>37.11272949</v>
      </c>
    </row>
    <row r="13">
      <c r="A13" s="125" t="s">
        <v>750</v>
      </c>
      <c r="B13" s="39"/>
      <c r="C13" s="8"/>
      <c r="D13" s="43">
        <f>D12*4000</f>
        <v>148450.918</v>
      </c>
      <c r="E13" s="6"/>
      <c r="F13" s="6"/>
    </row>
    <row r="14">
      <c r="A14" s="125" t="s">
        <v>751</v>
      </c>
      <c r="B14" s="39"/>
      <c r="C14" s="8"/>
      <c r="D14" s="173">
        <f>D13*10</f>
        <v>1484509.18</v>
      </c>
    </row>
  </sheetData>
  <mergeCells count="10">
    <mergeCell ref="A12:C12"/>
    <mergeCell ref="A13:C13"/>
    <mergeCell ref="A14:C14"/>
    <mergeCell ref="A1:D1"/>
    <mergeCell ref="B2:C2"/>
    <mergeCell ref="B3:C3"/>
    <mergeCell ref="B4:C4"/>
    <mergeCell ref="B5:C5"/>
    <mergeCell ref="B6:C6"/>
    <mergeCell ref="A9:C9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30.71"/>
    <col customWidth="1" min="2" max="2" width="25.86"/>
    <col customWidth="1" min="3" max="3" width="19.29"/>
    <col customWidth="1" min="4" max="4" width="15.29"/>
  </cols>
  <sheetData>
    <row r="1">
      <c r="A1" s="174" t="s">
        <v>752</v>
      </c>
      <c r="B1" s="4"/>
      <c r="C1" s="4"/>
      <c r="D1" s="5"/>
      <c r="E1" s="6"/>
      <c r="F1" s="6"/>
      <c r="G1" s="6"/>
      <c r="H1" s="6"/>
      <c r="I1" s="6"/>
      <c r="J1" s="6"/>
      <c r="K1" s="6"/>
    </row>
    <row r="2">
      <c r="A2" s="175"/>
      <c r="C2" s="101" t="s">
        <v>753</v>
      </c>
      <c r="D2" s="176" t="s">
        <v>754</v>
      </c>
      <c r="E2" s="6"/>
      <c r="F2" s="6"/>
      <c r="G2" s="6"/>
      <c r="H2" s="6"/>
      <c r="I2" s="6"/>
      <c r="J2" s="6"/>
      <c r="K2" s="6"/>
    </row>
    <row r="3">
      <c r="A3" s="19" t="s">
        <v>755</v>
      </c>
      <c r="B3" s="41" t="s">
        <v>756</v>
      </c>
      <c r="C3" s="177">
        <v>400.0</v>
      </c>
      <c r="D3" s="178">
        <f>C3*7</f>
        <v>2800</v>
      </c>
      <c r="E3" s="6"/>
      <c r="F3" s="6"/>
      <c r="G3" s="6"/>
      <c r="H3" s="6"/>
      <c r="I3" s="6"/>
      <c r="J3" s="6"/>
      <c r="K3" s="6"/>
    </row>
    <row r="4">
      <c r="A4" s="175"/>
      <c r="C4" s="179"/>
      <c r="D4" s="180"/>
      <c r="E4" s="6"/>
      <c r="F4" s="6"/>
      <c r="G4" s="6"/>
      <c r="H4" s="6"/>
      <c r="I4" s="6"/>
      <c r="J4" s="6"/>
      <c r="K4" s="6"/>
    </row>
    <row r="5">
      <c r="A5" s="181" t="s">
        <v>757</v>
      </c>
      <c r="B5" s="182"/>
      <c r="C5" s="183" t="s">
        <v>758</v>
      </c>
      <c r="D5" s="184" t="s">
        <v>754</v>
      </c>
      <c r="E5" s="6"/>
      <c r="F5" s="6"/>
      <c r="G5" s="6"/>
      <c r="H5" s="6"/>
      <c r="I5" s="6"/>
      <c r="J5" s="6"/>
      <c r="K5" s="6"/>
    </row>
    <row r="6">
      <c r="A6" s="185"/>
      <c r="B6" s="186"/>
      <c r="C6" s="177">
        <v>5139.3</v>
      </c>
      <c r="D6" s="187">
        <f>SUM(C6:C7)</f>
        <v>23834.71</v>
      </c>
      <c r="E6" s="6"/>
      <c r="F6" s="36"/>
      <c r="G6" s="6"/>
      <c r="H6" s="6"/>
      <c r="I6" s="6"/>
      <c r="J6" s="6"/>
      <c r="K6" s="6"/>
    </row>
    <row r="7">
      <c r="A7" s="188"/>
      <c r="B7" s="63"/>
      <c r="C7" s="177">
        <v>18695.41</v>
      </c>
      <c r="D7" s="189"/>
      <c r="E7" s="6"/>
      <c r="F7" s="6"/>
      <c r="G7" s="36"/>
      <c r="H7" s="6"/>
      <c r="I7" s="6"/>
      <c r="J7" s="6"/>
      <c r="K7" s="6"/>
    </row>
    <row r="8">
      <c r="A8" s="175"/>
      <c r="D8" s="190"/>
      <c r="E8" s="6"/>
      <c r="F8" s="6"/>
      <c r="G8" s="6"/>
      <c r="H8" s="6"/>
      <c r="I8" s="6"/>
      <c r="J8" s="6"/>
      <c r="K8" s="6"/>
    </row>
    <row r="9">
      <c r="A9" s="191"/>
      <c r="B9" s="192"/>
      <c r="C9" s="193" t="s">
        <v>20</v>
      </c>
      <c r="D9" s="194">
        <f>D3+D6</f>
        <v>26634.71</v>
      </c>
      <c r="E9" s="6"/>
      <c r="F9" s="6"/>
      <c r="G9" s="6"/>
      <c r="H9" s="6"/>
      <c r="I9" s="6"/>
      <c r="J9" s="6"/>
      <c r="K9" s="6"/>
    </row>
    <row r="10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>
      <c r="A11" s="174" t="s">
        <v>759</v>
      </c>
      <c r="B11" s="4"/>
      <c r="C11" s="4"/>
      <c r="D11" s="4"/>
      <c r="E11" s="4"/>
      <c r="F11" s="4"/>
      <c r="G11" s="5"/>
    </row>
    <row r="12">
      <c r="A12" s="19" t="s">
        <v>760</v>
      </c>
      <c r="B12" s="195" t="s">
        <v>761</v>
      </c>
      <c r="C12" s="196"/>
      <c r="D12" s="197" t="s">
        <v>762</v>
      </c>
      <c r="E12" s="197" t="s">
        <v>763</v>
      </c>
      <c r="F12" s="197" t="s">
        <v>764</v>
      </c>
      <c r="G12" s="198" t="s">
        <v>765</v>
      </c>
    </row>
    <row r="13">
      <c r="A13" s="181" t="s">
        <v>766</v>
      </c>
      <c r="B13" s="182"/>
      <c r="C13" s="199"/>
      <c r="D13" s="40"/>
      <c r="E13" s="40"/>
      <c r="F13" s="40"/>
      <c r="G13" s="189"/>
    </row>
    <row r="14">
      <c r="A14" s="185"/>
      <c r="B14" s="186"/>
      <c r="C14" s="200" t="s">
        <v>767</v>
      </c>
      <c r="D14" s="183" t="s">
        <v>768</v>
      </c>
      <c r="E14" s="183" t="s">
        <v>769</v>
      </c>
      <c r="F14" s="183" t="s">
        <v>770</v>
      </c>
      <c r="G14" s="184" t="s">
        <v>771</v>
      </c>
    </row>
    <row r="15">
      <c r="A15" s="188"/>
      <c r="B15" s="63"/>
      <c r="C15" s="200" t="s">
        <v>772</v>
      </c>
      <c r="D15" s="201">
        <f t="shared" ref="D15:E15" si="1">290*4</f>
        <v>1160</v>
      </c>
      <c r="E15" s="201">
        <f t="shared" si="1"/>
        <v>1160</v>
      </c>
      <c r="F15" s="201">
        <f t="shared" ref="F15:G15" si="2">2*15800</f>
        <v>31600</v>
      </c>
      <c r="G15" s="202">
        <f t="shared" si="2"/>
        <v>31600</v>
      </c>
      <c r="K15" s="6"/>
    </row>
    <row r="16">
      <c r="A16" s="203"/>
      <c r="B16" s="141"/>
      <c r="C16" s="200" t="s">
        <v>773</v>
      </c>
      <c r="D16" s="201">
        <f>D15*2</f>
        <v>2320</v>
      </c>
      <c r="E16" s="201">
        <f>E15*10</f>
        <v>11600</v>
      </c>
      <c r="F16" s="201">
        <f>F15/3</f>
        <v>10533.33333</v>
      </c>
      <c r="G16" s="202">
        <f>G15</f>
        <v>31600</v>
      </c>
      <c r="H16" s="6"/>
      <c r="J16" s="6"/>
      <c r="K16" s="6"/>
    </row>
    <row r="17">
      <c r="A17" s="175"/>
      <c r="C17" s="200" t="s">
        <v>751</v>
      </c>
      <c r="D17" s="204">
        <f>E16-D16</f>
        <v>9280</v>
      </c>
      <c r="E17" s="8"/>
      <c r="F17" s="204">
        <f>G16-F16</f>
        <v>21066.66667</v>
      </c>
      <c r="G17" s="205"/>
      <c r="H17" s="6"/>
      <c r="I17" s="6"/>
      <c r="J17" s="6"/>
      <c r="K17" s="6"/>
    </row>
    <row r="18">
      <c r="A18" s="191"/>
      <c r="B18" s="192"/>
      <c r="C18" s="206" t="s">
        <v>774</v>
      </c>
      <c r="D18" s="207">
        <f>D17+F17</f>
        <v>30346.66667</v>
      </c>
      <c r="E18" s="208"/>
      <c r="F18" s="208"/>
      <c r="G18" s="209"/>
      <c r="H18" s="6"/>
      <c r="I18" s="6"/>
      <c r="J18" s="6"/>
      <c r="K18" s="6"/>
    </row>
    <row r="19">
      <c r="E19" s="210"/>
      <c r="F19" s="6"/>
      <c r="G19" s="6"/>
      <c r="H19" s="6"/>
      <c r="I19" s="6"/>
      <c r="J19" s="6"/>
      <c r="K19" s="6"/>
    </row>
    <row r="20">
      <c r="A20" s="174" t="s">
        <v>775</v>
      </c>
      <c r="B20" s="4"/>
      <c r="C20" s="4"/>
      <c r="D20" s="4"/>
      <c r="E20" s="5"/>
      <c r="F20" s="6"/>
    </row>
    <row r="21">
      <c r="A21" s="211"/>
      <c r="B21" s="6"/>
      <c r="C21" s="132" t="s">
        <v>684</v>
      </c>
      <c r="D21" s="132" t="s">
        <v>776</v>
      </c>
      <c r="E21" s="212" t="s">
        <v>754</v>
      </c>
      <c r="F21" s="6"/>
    </row>
    <row r="22">
      <c r="A22" s="181" t="s">
        <v>777</v>
      </c>
      <c r="B22" s="182"/>
      <c r="C22" s="183">
        <f t="shared" ref="C22:C23" si="3">8*5</f>
        <v>40</v>
      </c>
      <c r="D22" s="177">
        <v>726.0</v>
      </c>
      <c r="E22" s="213">
        <f>C22*D22+C23*D23</f>
        <v>61040</v>
      </c>
      <c r="F22" s="6"/>
    </row>
    <row r="23">
      <c r="A23" s="214"/>
      <c r="B23" s="215"/>
      <c r="C23" s="216">
        <f t="shared" si="3"/>
        <v>40</v>
      </c>
      <c r="D23" s="217">
        <v>800.0</v>
      </c>
      <c r="E23" s="218"/>
      <c r="F23" s="6"/>
    </row>
    <row r="24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>
      <c r="A25" s="174" t="s">
        <v>778</v>
      </c>
      <c r="B25" s="4"/>
      <c r="C25" s="4"/>
      <c r="D25" s="4"/>
      <c r="E25" s="5"/>
      <c r="F25" s="6"/>
      <c r="G25" s="6"/>
      <c r="H25" s="6"/>
      <c r="I25" s="6"/>
      <c r="J25" s="6"/>
      <c r="K25" s="6"/>
    </row>
    <row r="26">
      <c r="A26" s="219" t="s">
        <v>779</v>
      </c>
      <c r="C26" s="132" t="s">
        <v>684</v>
      </c>
      <c r="D26" s="132" t="s">
        <v>776</v>
      </c>
      <c r="E26" s="212" t="s">
        <v>780</v>
      </c>
      <c r="F26" s="6"/>
      <c r="G26" s="6"/>
      <c r="H26" s="6"/>
      <c r="I26" s="6"/>
      <c r="J26" s="6"/>
      <c r="K26" s="6"/>
    </row>
    <row r="27">
      <c r="A27" s="214"/>
      <c r="B27" s="220"/>
      <c r="C27" s="216">
        <v>4.0</v>
      </c>
      <c r="D27" s="217">
        <v>672.13</v>
      </c>
      <c r="E27" s="221">
        <f>C27*D27</f>
        <v>2688.52</v>
      </c>
      <c r="F27" s="45">
        <f>D27*C27*10</f>
        <v>26885.2</v>
      </c>
      <c r="G27" s="45">
        <f>E22+F27</f>
        <v>87925.2</v>
      </c>
      <c r="H27" s="6"/>
      <c r="I27" s="6"/>
      <c r="J27" s="6"/>
      <c r="K27" s="6"/>
    </row>
    <row r="28">
      <c r="F28" s="6"/>
      <c r="G28" s="6"/>
      <c r="H28" s="6"/>
      <c r="I28" s="6"/>
      <c r="J28" s="6"/>
      <c r="K28" s="6"/>
    </row>
    <row r="29">
      <c r="F29" s="6"/>
      <c r="G29" s="6"/>
      <c r="H29" s="6"/>
      <c r="I29" s="6"/>
      <c r="J29" s="6"/>
      <c r="K29" s="6"/>
    </row>
    <row r="30">
      <c r="A30" s="222" t="s">
        <v>781</v>
      </c>
      <c r="B30" s="223"/>
      <c r="C30" s="224">
        <f>D9+E22+D18+E27*10</f>
        <v>144906.5767</v>
      </c>
      <c r="D30" s="225"/>
      <c r="E30" s="6"/>
      <c r="F30" s="6"/>
      <c r="G30" s="6"/>
      <c r="H30" s="6"/>
      <c r="I30" s="6"/>
      <c r="J30" s="6"/>
      <c r="K30" s="6"/>
    </row>
    <row r="3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</row>
    <row r="33">
      <c r="A33" s="222" t="s">
        <v>782</v>
      </c>
      <c r="B33" s="223"/>
      <c r="C33" s="226">
        <f>D3/10+D17/10+E27</f>
        <v>3896.52</v>
      </c>
      <c r="D33" s="6"/>
      <c r="E33" s="6"/>
    </row>
    <row r="34">
      <c r="A34" s="6"/>
      <c r="B34" s="6"/>
      <c r="C34" s="6"/>
      <c r="D34" s="6"/>
      <c r="E34" s="6"/>
    </row>
    <row r="35">
      <c r="A35" s="222" t="s">
        <v>783</v>
      </c>
      <c r="B35" s="223"/>
      <c r="C35" s="226">
        <f>D6+F17+E22+C33</f>
        <v>109837.8967</v>
      </c>
      <c r="D35" s="6"/>
      <c r="E35" s="6"/>
    </row>
  </sheetData>
  <mergeCells count="20">
    <mergeCell ref="A1:D1"/>
    <mergeCell ref="A5:B7"/>
    <mergeCell ref="D6:D7"/>
    <mergeCell ref="A11:G11"/>
    <mergeCell ref="E12:E13"/>
    <mergeCell ref="F12:F13"/>
    <mergeCell ref="G12:G13"/>
    <mergeCell ref="A22:B23"/>
    <mergeCell ref="A25:E25"/>
    <mergeCell ref="A26:B27"/>
    <mergeCell ref="A30:B30"/>
    <mergeCell ref="A33:B33"/>
    <mergeCell ref="A35:B35"/>
    <mergeCell ref="D12:D13"/>
    <mergeCell ref="A13:B15"/>
    <mergeCell ref="D17:E17"/>
    <mergeCell ref="F17:G17"/>
    <mergeCell ref="D18:G18"/>
    <mergeCell ref="A20:E20"/>
    <mergeCell ref="E22:E23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4" max="4" width="15.14"/>
    <col customWidth="1" min="5" max="5" width="15.43"/>
    <col customWidth="1" min="9" max="9" width="16.14"/>
  </cols>
  <sheetData>
    <row r="1">
      <c r="A1" s="132" t="s">
        <v>784</v>
      </c>
      <c r="B1" s="227" t="s">
        <v>785</v>
      </c>
      <c r="C1" s="39"/>
      <c r="D1" s="8"/>
      <c r="E1" s="132" t="s">
        <v>786</v>
      </c>
      <c r="F1" s="132" t="s">
        <v>787</v>
      </c>
      <c r="G1" s="132" t="s">
        <v>788</v>
      </c>
      <c r="H1" s="132" t="s">
        <v>789</v>
      </c>
      <c r="I1" s="132" t="s">
        <v>790</v>
      </c>
      <c r="J1" s="132" t="s">
        <v>791</v>
      </c>
      <c r="K1" s="132" t="s">
        <v>792</v>
      </c>
      <c r="L1" s="228"/>
      <c r="M1" s="6"/>
      <c r="N1" s="6"/>
    </row>
    <row r="2">
      <c r="A2" s="229" t="s">
        <v>793</v>
      </c>
      <c r="B2" s="230" t="s">
        <v>100</v>
      </c>
      <c r="C2" s="39"/>
      <c r="D2" s="8"/>
      <c r="E2" s="229">
        <v>380.0</v>
      </c>
      <c r="F2" s="229">
        <v>6.4</v>
      </c>
      <c r="G2" s="231">
        <v>0.85</v>
      </c>
      <c r="H2" s="231">
        <f t="shared" ref="H2:H11" si="1">SQRT(3)*E2*F2*G2/1000</f>
        <v>3.580495429</v>
      </c>
      <c r="I2" s="232">
        <f>SUM(H2:H11)</f>
        <v>41.46411854</v>
      </c>
      <c r="J2" s="232">
        <f>SUM(H3:H11)</f>
        <v>37.88362311</v>
      </c>
      <c r="K2" s="232">
        <f>SUM(H5:H11)</f>
        <v>13.28088062</v>
      </c>
      <c r="L2" s="228"/>
      <c r="M2" s="6"/>
      <c r="N2" s="6"/>
    </row>
    <row r="3">
      <c r="A3" s="229" t="s">
        <v>794</v>
      </c>
      <c r="B3" s="230" t="s">
        <v>174</v>
      </c>
      <c r="C3" s="39"/>
      <c r="D3" s="8"/>
      <c r="E3" s="229">
        <v>380.0</v>
      </c>
      <c r="F3" s="229">
        <v>0.6</v>
      </c>
      <c r="G3" s="231">
        <v>0.7</v>
      </c>
      <c r="H3" s="231">
        <f t="shared" si="1"/>
        <v>0.2764353089</v>
      </c>
      <c r="I3" s="233"/>
      <c r="J3" s="233"/>
      <c r="K3" s="233"/>
      <c r="L3" s="228"/>
      <c r="M3" s="6"/>
      <c r="N3" s="6"/>
    </row>
    <row r="4">
      <c r="A4" s="229" t="s">
        <v>795</v>
      </c>
      <c r="B4" s="230" t="s">
        <v>796</v>
      </c>
      <c r="C4" s="39"/>
      <c r="D4" s="8"/>
      <c r="E4" s="229">
        <v>380.0</v>
      </c>
      <c r="F4" s="229">
        <v>44.0</v>
      </c>
      <c r="G4" s="231">
        <v>0.84</v>
      </c>
      <c r="H4" s="231">
        <f t="shared" si="1"/>
        <v>24.32630718</v>
      </c>
      <c r="I4" s="233"/>
      <c r="J4" s="233"/>
      <c r="K4" s="233"/>
      <c r="L4" s="228"/>
      <c r="M4" s="6"/>
      <c r="N4" s="6"/>
    </row>
    <row r="5">
      <c r="A5" s="229" t="s">
        <v>797</v>
      </c>
      <c r="B5" s="234" t="s">
        <v>90</v>
      </c>
      <c r="C5" s="182"/>
      <c r="D5" s="104" t="s">
        <v>798</v>
      </c>
      <c r="E5" s="229">
        <v>380.0</v>
      </c>
      <c r="F5" s="229">
        <v>0.6</v>
      </c>
      <c r="G5" s="231">
        <v>0.7</v>
      </c>
      <c r="H5" s="231">
        <f t="shared" si="1"/>
        <v>0.2764353089</v>
      </c>
      <c r="I5" s="233"/>
      <c r="J5" s="233"/>
      <c r="K5" s="233"/>
      <c r="L5" s="228"/>
      <c r="M5" s="6"/>
      <c r="N5" s="6"/>
    </row>
    <row r="6">
      <c r="A6" s="229" t="s">
        <v>799</v>
      </c>
      <c r="B6" s="235"/>
      <c r="C6" s="63"/>
      <c r="D6" s="104" t="s">
        <v>800</v>
      </c>
      <c r="E6" s="229">
        <v>220.0</v>
      </c>
      <c r="F6" s="229">
        <v>2.2</v>
      </c>
      <c r="G6" s="231">
        <v>0.85</v>
      </c>
      <c r="H6" s="231">
        <f t="shared" si="1"/>
        <v>0.7125657022</v>
      </c>
      <c r="I6" s="233"/>
      <c r="J6" s="233"/>
      <c r="K6" s="233"/>
      <c r="L6" s="228"/>
      <c r="M6" s="6"/>
      <c r="N6" s="6"/>
    </row>
    <row r="7">
      <c r="A7" s="229" t="s">
        <v>801</v>
      </c>
      <c r="B7" s="230" t="s">
        <v>802</v>
      </c>
      <c r="C7" s="39"/>
      <c r="D7" s="8"/>
      <c r="E7" s="229">
        <v>380.0</v>
      </c>
      <c r="F7" s="229">
        <v>18.5</v>
      </c>
      <c r="G7" s="231">
        <v>0.82</v>
      </c>
      <c r="H7" s="231">
        <f t="shared" si="1"/>
        <v>9.984580085</v>
      </c>
      <c r="I7" s="233"/>
      <c r="J7" s="233"/>
      <c r="K7" s="233"/>
      <c r="L7" s="228"/>
      <c r="M7" s="6"/>
      <c r="N7" s="6"/>
    </row>
    <row r="8">
      <c r="A8" s="229" t="s">
        <v>803</v>
      </c>
      <c r="B8" s="230" t="s">
        <v>804</v>
      </c>
      <c r="C8" s="39"/>
      <c r="D8" s="8"/>
      <c r="E8" s="229">
        <v>380.0</v>
      </c>
      <c r="F8" s="229">
        <v>2.1</v>
      </c>
      <c r="G8" s="231">
        <v>0.74</v>
      </c>
      <c r="H8" s="231">
        <f t="shared" si="1"/>
        <v>1.022810643</v>
      </c>
      <c r="I8" s="233"/>
      <c r="J8" s="233"/>
      <c r="K8" s="233"/>
      <c r="L8" s="228"/>
      <c r="M8" s="233"/>
      <c r="N8" s="233"/>
    </row>
    <row r="9">
      <c r="A9" s="229" t="s">
        <v>805</v>
      </c>
      <c r="B9" s="236" t="s">
        <v>67</v>
      </c>
      <c r="C9" s="230" t="s">
        <v>806</v>
      </c>
      <c r="D9" s="8"/>
      <c r="E9" s="229">
        <v>380.0</v>
      </c>
      <c r="F9" s="229">
        <v>0.6</v>
      </c>
      <c r="G9" s="231">
        <v>0.7</v>
      </c>
      <c r="H9" s="231">
        <f t="shared" si="1"/>
        <v>0.2764353089</v>
      </c>
      <c r="I9" s="233"/>
      <c r="J9" s="233"/>
      <c r="K9" s="233"/>
      <c r="L9" s="228"/>
      <c r="M9" s="237"/>
      <c r="N9" s="233"/>
    </row>
    <row r="10">
      <c r="A10" s="229" t="s">
        <v>807</v>
      </c>
      <c r="B10" s="40"/>
      <c r="C10" s="230" t="s">
        <v>808</v>
      </c>
      <c r="D10" s="8"/>
      <c r="E10" s="229">
        <v>380.0</v>
      </c>
      <c r="F10" s="229">
        <v>0.6</v>
      </c>
      <c r="G10" s="231">
        <v>0.7</v>
      </c>
      <c r="H10" s="231">
        <f t="shared" si="1"/>
        <v>0.2764353089</v>
      </c>
      <c r="I10" s="233"/>
      <c r="J10" s="233"/>
      <c r="K10" s="233"/>
      <c r="L10" s="228"/>
      <c r="M10" s="237"/>
      <c r="N10" s="233"/>
    </row>
    <row r="11">
      <c r="A11" s="229" t="s">
        <v>809</v>
      </c>
      <c r="B11" s="230" t="s">
        <v>810</v>
      </c>
      <c r="C11" s="39"/>
      <c r="D11" s="8"/>
      <c r="E11" s="229">
        <v>220.0</v>
      </c>
      <c r="F11" s="229">
        <v>2.4</v>
      </c>
      <c r="G11" s="231">
        <v>0.8</v>
      </c>
      <c r="H11" s="231">
        <f t="shared" si="1"/>
        <v>0.7316182611</v>
      </c>
      <c r="I11" s="233"/>
      <c r="J11" s="233"/>
      <c r="K11" s="233"/>
      <c r="L11" s="228"/>
      <c r="M11" s="237"/>
      <c r="N11" s="233"/>
    </row>
    <row r="12">
      <c r="A12" s="6"/>
      <c r="B12" s="6"/>
      <c r="C12" s="6"/>
      <c r="D12" s="6"/>
      <c r="E12" s="6"/>
      <c r="F12" s="6"/>
      <c r="G12" s="36"/>
      <c r="H12" s="6"/>
      <c r="I12" s="233"/>
      <c r="J12" s="233"/>
      <c r="K12" s="233"/>
      <c r="L12" s="228"/>
      <c r="M12" s="237"/>
      <c r="N12" s="233"/>
    </row>
    <row r="13">
      <c r="A13" s="6"/>
      <c r="B13" s="6"/>
      <c r="C13" s="6"/>
      <c r="D13" s="6"/>
      <c r="E13" s="6"/>
      <c r="F13" s="6"/>
      <c r="G13" s="238"/>
      <c r="H13" s="233"/>
      <c r="I13" s="233"/>
      <c r="J13" s="233"/>
      <c r="K13" s="233"/>
      <c r="L13" s="228"/>
      <c r="M13" s="237"/>
      <c r="N13" s="233"/>
    </row>
    <row r="14">
      <c r="A14" s="132" t="s">
        <v>811</v>
      </c>
      <c r="B14" s="132" t="s">
        <v>721</v>
      </c>
      <c r="C14" s="132" t="s">
        <v>722</v>
      </c>
      <c r="D14" s="132" t="s">
        <v>723</v>
      </c>
      <c r="E14" s="114"/>
      <c r="F14" s="132" t="s">
        <v>812</v>
      </c>
      <c r="G14" s="132" t="s">
        <v>721</v>
      </c>
      <c r="H14" s="132" t="s">
        <v>722</v>
      </c>
      <c r="I14" s="132" t="s">
        <v>723</v>
      </c>
      <c r="J14" s="132" t="s">
        <v>813</v>
      </c>
      <c r="K14" s="132" t="s">
        <v>814</v>
      </c>
      <c r="M14" s="237"/>
      <c r="N14" s="132" t="s">
        <v>811</v>
      </c>
      <c r="O14" s="132" t="s">
        <v>721</v>
      </c>
      <c r="P14" s="132" t="s">
        <v>722</v>
      </c>
      <c r="Q14" s="132" t="s">
        <v>723</v>
      </c>
    </row>
    <row r="15">
      <c r="A15" s="239" t="s">
        <v>815</v>
      </c>
      <c r="B15" s="240">
        <f>K15*(G15*J15+G16*J16+G17*J17)/100</f>
        <v>6077.364045</v>
      </c>
      <c r="C15" s="240">
        <f>K16*(H15*J15+H16*J16+H17*J17)/100</f>
        <v>8950.044423</v>
      </c>
      <c r="D15" s="240">
        <f>K17*(I15*J15+I16*J16+I17*J17)/100</f>
        <v>13149.86018</v>
      </c>
      <c r="E15" s="6"/>
      <c r="F15" s="239" t="s">
        <v>816</v>
      </c>
      <c r="G15" s="126">
        <v>15.0</v>
      </c>
      <c r="H15" s="126">
        <v>40.0</v>
      </c>
      <c r="I15" s="126">
        <v>0.0</v>
      </c>
      <c r="J15" s="241">
        <f>I2*6*20</f>
        <v>4975.694225</v>
      </c>
      <c r="K15" s="242">
        <v>2.8926</v>
      </c>
      <c r="M15" s="237"/>
      <c r="N15" s="239" t="s">
        <v>817</v>
      </c>
      <c r="O15" s="243">
        <f>((G15*J15+G16*J16+G17*J17)/100)*10*0.6</f>
        <v>12606.02374</v>
      </c>
      <c r="P15" s="243">
        <f>((H15*J15+H16*J16+H17*J17)/100)*10*0.35</f>
        <v>10829.41142</v>
      </c>
      <c r="Q15" s="243">
        <f>((I15*J15+I16*J16+I17*J17)/100)*10*0.05</f>
        <v>2273.017387</v>
      </c>
    </row>
    <row r="16">
      <c r="A16" s="239" t="s">
        <v>773</v>
      </c>
      <c r="B16" s="244">
        <f>10*(B15*0.6+C15*0.35+D15*0.05)</f>
        <v>74364.26985</v>
      </c>
      <c r="C16" s="39"/>
      <c r="D16" s="8"/>
      <c r="E16" s="6"/>
      <c r="F16" s="239" t="s">
        <v>818</v>
      </c>
      <c r="G16" s="126">
        <v>0.0</v>
      </c>
      <c r="H16" s="126">
        <v>5.0</v>
      </c>
      <c r="I16" s="126">
        <v>100.0</v>
      </c>
      <c r="J16" s="241">
        <f>J2*6*20</f>
        <v>4546.034773</v>
      </c>
      <c r="K16" s="242">
        <v>2.8926</v>
      </c>
      <c r="M16" s="237"/>
      <c r="N16" s="239" t="s">
        <v>773</v>
      </c>
      <c r="O16" s="245">
        <f t="shared" ref="O16:Q16" si="2">O15*$K$15</f>
        <v>36464.18427</v>
      </c>
      <c r="P16" s="245">
        <f t="shared" si="2"/>
        <v>31325.15548</v>
      </c>
      <c r="Q16" s="245">
        <f t="shared" si="2"/>
        <v>6574.930092</v>
      </c>
    </row>
    <row r="17">
      <c r="B17" s="172">
        <f>(B15*0.6*10)/K15</f>
        <v>12606.02374</v>
      </c>
      <c r="C17" s="172">
        <f>(C15*0.35*10)/K16</f>
        <v>10829.41142</v>
      </c>
      <c r="D17" s="172">
        <f>(D15*0.05*10)/K16</f>
        <v>2273.017387</v>
      </c>
      <c r="E17" s="6"/>
      <c r="F17" s="239" t="s">
        <v>819</v>
      </c>
      <c r="G17" s="126">
        <v>85.0</v>
      </c>
      <c r="H17" s="126">
        <v>55.0</v>
      </c>
      <c r="I17" s="126">
        <v>0.0</v>
      </c>
      <c r="J17" s="241">
        <f>K2*6*20</f>
        <v>1593.705674</v>
      </c>
      <c r="K17" s="242">
        <v>2.8926</v>
      </c>
      <c r="M17" s="237"/>
      <c r="N17" s="233"/>
    </row>
    <row r="18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237"/>
      <c r="N18" s="233"/>
    </row>
    <row r="19">
      <c r="J19" s="6"/>
      <c r="K19" s="6"/>
      <c r="L19" s="6"/>
      <c r="M19" s="237"/>
      <c r="N19" s="233"/>
    </row>
    <row r="20">
      <c r="A20" s="246" t="s">
        <v>820</v>
      </c>
      <c r="B20" s="182"/>
      <c r="C20" s="143" t="s">
        <v>821</v>
      </c>
      <c r="D20" s="143" t="s">
        <v>822</v>
      </c>
      <c r="E20" s="143" t="s">
        <v>823</v>
      </c>
      <c r="F20" s="132" t="s">
        <v>824</v>
      </c>
      <c r="G20" s="132" t="s">
        <v>773</v>
      </c>
      <c r="H20" s="132" t="s">
        <v>825</v>
      </c>
      <c r="J20" s="233"/>
      <c r="K20" s="131" t="s">
        <v>826</v>
      </c>
      <c r="L20" s="8"/>
      <c r="M20" s="237"/>
      <c r="N20" s="233"/>
    </row>
    <row r="21">
      <c r="A21" s="195" t="s">
        <v>827</v>
      </c>
      <c r="B21" s="8"/>
      <c r="C21" s="247">
        <f>H7+H8*2+H11</f>
        <v>12.76181963</v>
      </c>
      <c r="D21" s="41">
        <v>6.0</v>
      </c>
      <c r="E21" s="248">
        <v>61.0</v>
      </c>
      <c r="F21" s="249">
        <v>2.8926</v>
      </c>
      <c r="G21" s="51">
        <f>C21*D21*E21*F21</f>
        <v>13510.83125</v>
      </c>
      <c r="H21" s="250">
        <f>G21+G22</f>
        <v>23221.37735</v>
      </c>
      <c r="J21" s="6"/>
      <c r="K21" s="251">
        <f>B16-H21</f>
        <v>51142.89249</v>
      </c>
      <c r="L21" s="8"/>
      <c r="M21" s="237"/>
      <c r="N21" s="233"/>
    </row>
    <row r="22">
      <c r="A22" s="195" t="s">
        <v>828</v>
      </c>
      <c r="B22" s="8"/>
      <c r="C22" s="247">
        <f>H4</f>
        <v>24.32630718</v>
      </c>
      <c r="D22" s="41">
        <v>6.0</v>
      </c>
      <c r="E22" s="248">
        <v>23.0</v>
      </c>
      <c r="F22" s="40"/>
      <c r="G22" s="51">
        <f>C22*D22*E22*F21</f>
        <v>9710.546109</v>
      </c>
      <c r="H22" s="40"/>
      <c r="J22" s="6"/>
      <c r="K22" s="6"/>
      <c r="L22" s="6"/>
      <c r="M22" s="237"/>
      <c r="N22" s="233"/>
    </row>
    <row r="23">
      <c r="K23" s="131" t="s">
        <v>829</v>
      </c>
      <c r="L23" s="8"/>
      <c r="M23" s="252"/>
      <c r="N23" s="233"/>
    </row>
    <row r="24">
      <c r="K24" s="251">
        <f>K21/10</f>
        <v>5114.289249</v>
      </c>
      <c r="L24" s="8"/>
      <c r="M24" s="237"/>
      <c r="N24" s="233"/>
    </row>
    <row r="25">
      <c r="K25" s="233"/>
      <c r="L25" s="228"/>
      <c r="M25" s="237"/>
      <c r="N25" s="233"/>
    </row>
    <row r="26">
      <c r="K26" s="6"/>
      <c r="L26" s="6"/>
      <c r="M26" s="237"/>
      <c r="N26" s="233"/>
    </row>
    <row r="27">
      <c r="K27" s="6"/>
      <c r="L27" s="6"/>
      <c r="M27" s="237"/>
      <c r="N27" s="233"/>
    </row>
    <row r="28">
      <c r="A28" s="6"/>
      <c r="B28" s="6"/>
      <c r="C28" s="237"/>
      <c r="D28" s="233"/>
    </row>
    <row r="29">
      <c r="A29" s="6"/>
      <c r="B29" s="6"/>
      <c r="C29" s="233"/>
      <c r="D29" s="233"/>
    </row>
    <row r="30">
      <c r="C30" s="253"/>
      <c r="D30" s="253"/>
    </row>
    <row r="31">
      <c r="C31" s="253"/>
      <c r="D31" s="253"/>
    </row>
    <row r="32">
      <c r="C32" s="253"/>
      <c r="D32" s="253"/>
    </row>
  </sheetData>
  <mergeCells count="21">
    <mergeCell ref="B8:D8"/>
    <mergeCell ref="C9:D9"/>
    <mergeCell ref="B1:D1"/>
    <mergeCell ref="B2:D2"/>
    <mergeCell ref="B3:D3"/>
    <mergeCell ref="B4:D4"/>
    <mergeCell ref="B5:C6"/>
    <mergeCell ref="B7:D7"/>
    <mergeCell ref="B9:B10"/>
    <mergeCell ref="K20:L20"/>
    <mergeCell ref="K21:L21"/>
    <mergeCell ref="K23:L23"/>
    <mergeCell ref="K24:L24"/>
    <mergeCell ref="C10:D10"/>
    <mergeCell ref="B11:D11"/>
    <mergeCell ref="B16:D16"/>
    <mergeCell ref="A20:B20"/>
    <mergeCell ref="A21:B21"/>
    <mergeCell ref="F21:F22"/>
    <mergeCell ref="H21:H22"/>
    <mergeCell ref="A22:B22"/>
  </mergeCells>
  <drawing r:id="rId1"/>
</worksheet>
</file>