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versión inicial" sheetId="1" r:id="rId4"/>
    <sheet state="visible" name="Mano de obra" sheetId="2" r:id="rId5"/>
    <sheet state="visible" name="Insumos" sheetId="3" r:id="rId6"/>
    <sheet state="visible" name="Consumo eléctrico" sheetId="4" r:id="rId7"/>
    <sheet state="visible" name="Otros costos" sheetId="5" r:id="rId8"/>
    <sheet state="visible" name="Financiero" sheetId="6" r:id="rId9"/>
    <sheet state="visible" name="Flujo caja años" sheetId="7" r:id="rId10"/>
    <sheet state="visible" name="Hoja 7" sheetId="8" r:id="rId11"/>
  </sheets>
  <definedNames/>
  <calcPr/>
  <extLst>
    <ext uri="GoogleSheetsCustomDataVersion2">
      <go:sheetsCustomData xmlns:go="http://customooxmlschemas.google.com/" r:id="rId12" roundtripDataChecksum="XdKLzJIssMNlgKFjfOcM2Ah9107h6vGGatkPTOCSXg4="/>
    </ext>
  </extLst>
</workbook>
</file>

<file path=xl/sharedStrings.xml><?xml version="1.0" encoding="utf-8"?>
<sst xmlns="http://schemas.openxmlformats.org/spreadsheetml/2006/main" count="329" uniqueCount="193">
  <si>
    <t>Categoría</t>
  </si>
  <si>
    <t>Elementos</t>
  </si>
  <si>
    <t>Precio USD</t>
  </si>
  <si>
    <t>Maquinaria</t>
  </si>
  <si>
    <t>Plasma CNC</t>
  </si>
  <si>
    <t>Sierra cinta</t>
  </si>
  <si>
    <t>Total maquinaria</t>
  </si>
  <si>
    <t>Soldadora MAG</t>
  </si>
  <si>
    <t>Agujereadora de pie</t>
  </si>
  <si>
    <t>Plegadora manual hidráulica</t>
  </si>
  <si>
    <t>Plegadora manual</t>
  </si>
  <si>
    <t xml:space="preserve">Roladora </t>
  </si>
  <si>
    <t>Dobladora de tubos</t>
  </si>
  <si>
    <t>Equipos</t>
  </si>
  <si>
    <t>Batea de pretratamiento</t>
  </si>
  <si>
    <t>Equipo de aplicación de pintura</t>
  </si>
  <si>
    <t>Total equipos</t>
  </si>
  <si>
    <t>Cabina de recuperación y filtros</t>
  </si>
  <si>
    <t>Horno de curado</t>
  </si>
  <si>
    <t>Cilindro y garrafa</t>
  </si>
  <si>
    <t>Carro de transporte, horno</t>
  </si>
  <si>
    <t>Mesa de soldadura perforada</t>
  </si>
  <si>
    <t>Carro de transporte de placas</t>
  </si>
  <si>
    <t>Carros porta herramientas (2)</t>
  </si>
  <si>
    <t>Almacén cantilever</t>
  </si>
  <si>
    <t>Pórtico grúa</t>
  </si>
  <si>
    <t>Almacenes/estanterías (15)</t>
  </si>
  <si>
    <t>Sistema de compresión de aire</t>
  </si>
  <si>
    <t xml:space="preserve">Servicios </t>
  </si>
  <si>
    <t>Red neumática (materiales)</t>
  </si>
  <si>
    <t>Ventilación (materiales)</t>
  </si>
  <si>
    <t>Total servicios</t>
  </si>
  <si>
    <t>Iluminación (materiales)</t>
  </si>
  <si>
    <t>Instalación eléctrica (materiales)</t>
  </si>
  <si>
    <t>Red neumática (M.O.)</t>
  </si>
  <si>
    <t>Ventilación (M.O.)</t>
  </si>
  <si>
    <t>Iluminación (M.O.)</t>
  </si>
  <si>
    <t>Instalación eléctrica (M.O.)</t>
  </si>
  <si>
    <t>Administrativos y otros</t>
  </si>
  <si>
    <t>Alta de S.R.L.</t>
  </si>
  <si>
    <t>Alta de empleados</t>
  </si>
  <si>
    <t>Total trámites</t>
  </si>
  <si>
    <t>Habilitación comercial</t>
  </si>
  <si>
    <t>Total otros</t>
  </si>
  <si>
    <t xml:space="preserve">INVERSIÓN INICIAL </t>
  </si>
  <si>
    <t>Capital de trabajo</t>
  </si>
  <si>
    <t>Equipamiento disponible</t>
  </si>
  <si>
    <t>Herramientas de mano, aparatos de medición, máquinas, equipos, muebles, vehículos de trabajo, etc.</t>
  </si>
  <si>
    <t>ID</t>
  </si>
  <si>
    <t>Empleado</t>
  </si>
  <si>
    <t>Salario básico [usd]</t>
  </si>
  <si>
    <t>Carga adicional impositiva</t>
  </si>
  <si>
    <t>Costo final [usd]</t>
  </si>
  <si>
    <t>T1</t>
  </si>
  <si>
    <t>Ingeniero</t>
  </si>
  <si>
    <t>Técnico de 6a</t>
  </si>
  <si>
    <t>T2</t>
  </si>
  <si>
    <t>Técnico avanzado</t>
  </si>
  <si>
    <t>Técnico de 4a</t>
  </si>
  <si>
    <t>T3</t>
  </si>
  <si>
    <t>Técnico medio</t>
  </si>
  <si>
    <t>Técnico de 2a</t>
  </si>
  <si>
    <t>T4</t>
  </si>
  <si>
    <t>Técnico</t>
  </si>
  <si>
    <t>Técnico de 1a</t>
  </si>
  <si>
    <t>T5</t>
  </si>
  <si>
    <t>Secretaria</t>
  </si>
  <si>
    <t>Adm. de 3a</t>
  </si>
  <si>
    <t>T6</t>
  </si>
  <si>
    <t>Administrativo</t>
  </si>
  <si>
    <t>Costo total del personal</t>
  </si>
  <si>
    <t>Insumo</t>
  </si>
  <si>
    <t>Precio unitario $</t>
  </si>
  <si>
    <t>Precio unitario [usd]</t>
  </si>
  <si>
    <t>Cantidad</t>
  </si>
  <si>
    <t>Subtotal</t>
  </si>
  <si>
    <t>Desengrasante</t>
  </si>
  <si>
    <t>Estopa/trapo</t>
  </si>
  <si>
    <t>Papel toalla</t>
  </si>
  <si>
    <t>Bolsas de residuo</t>
  </si>
  <si>
    <t>Disco de sensitiva</t>
  </si>
  <si>
    <t>Hija de sierra cinta</t>
  </si>
  <si>
    <t>Lubricante de corte</t>
  </si>
  <si>
    <t>Electrodos rutílicos/ alambre</t>
  </si>
  <si>
    <t>Disco de corte 115</t>
  </si>
  <si>
    <t>Disco flap 115</t>
  </si>
  <si>
    <t>Consumibles plasma</t>
  </si>
  <si>
    <t>Fosfatizante 3 en 1</t>
  </si>
  <si>
    <t>Pintura en polvo</t>
  </si>
  <si>
    <t>Gas envasado</t>
  </si>
  <si>
    <t>Cinta aisladora</t>
  </si>
  <si>
    <t>Precinto</t>
  </si>
  <si>
    <t>Terminales pala</t>
  </si>
  <si>
    <t>Cemento de contacto</t>
  </si>
  <si>
    <t>Caja de madera</t>
  </si>
  <si>
    <t>Combustible/ fletes</t>
  </si>
  <si>
    <t>Tercerización de mecanizado</t>
  </si>
  <si>
    <t>Insumos para el personal</t>
  </si>
  <si>
    <t>Costo total de insumos/unidad</t>
  </si>
  <si>
    <t>Equipo</t>
  </si>
  <si>
    <t>Potencia [kW]</t>
  </si>
  <si>
    <t>Tiempo de uso [h/unidad]</t>
  </si>
  <si>
    <t>Costo kWh [$]</t>
  </si>
  <si>
    <t>Consumo [kWh]</t>
  </si>
  <si>
    <t>Subtotal [$]</t>
  </si>
  <si>
    <t>Tiempo de uso [h/mes]</t>
  </si>
  <si>
    <t>Agujereadora</t>
  </si>
  <si>
    <t>Iluminación</t>
  </si>
  <si>
    <t>Cabina de pintura</t>
  </si>
  <si>
    <t>Compresor</t>
  </si>
  <si>
    <t>Equipo de pintura</t>
  </si>
  <si>
    <t>Secador de aire</t>
  </si>
  <si>
    <t>Aparatos eléctricos varios</t>
  </si>
  <si>
    <t>Roladora</t>
  </si>
  <si>
    <t>Sensitiva</t>
  </si>
  <si>
    <t>Soldadora</t>
  </si>
  <si>
    <t>Amoladoras de mano</t>
  </si>
  <si>
    <t>Costo mensual variable energía eléctrica</t>
  </si>
  <si>
    <t>Costo mensual fijo energía eléctrica</t>
  </si>
  <si>
    <t>Alquiler</t>
  </si>
  <si>
    <t xml:space="preserve">Contabilidad </t>
  </si>
  <si>
    <t>Servicios y tasas</t>
  </si>
  <si>
    <t>Materia prima</t>
  </si>
  <si>
    <t>Proyección de precios</t>
  </si>
  <si>
    <t>Proyección de demanda</t>
  </si>
  <si>
    <t>USD$</t>
  </si>
  <si>
    <t>Años</t>
  </si>
  <si>
    <t>usd $</t>
  </si>
  <si>
    <t>Año</t>
  </si>
  <si>
    <t>Q anual</t>
  </si>
  <si>
    <t>Q mensual</t>
  </si>
  <si>
    <t>Costo variable/ unidad</t>
  </si>
  <si>
    <t>Capital de trabajo usd$</t>
  </si>
  <si>
    <t>Costo fijo mensual</t>
  </si>
  <si>
    <t>Impuestos al ingreso</t>
  </si>
  <si>
    <t>3,7%</t>
  </si>
  <si>
    <t>IVA</t>
  </si>
  <si>
    <t>21,0%</t>
  </si>
  <si>
    <t>5…</t>
  </si>
  <si>
    <t>Ganancias</t>
  </si>
  <si>
    <t>35,0%</t>
  </si>
  <si>
    <t>Ítem</t>
  </si>
  <si>
    <t>Monto [usd$]</t>
  </si>
  <si>
    <t>Plazo dep.</t>
  </si>
  <si>
    <t>Dep. anual</t>
  </si>
  <si>
    <t>Equipos disponibles</t>
  </si>
  <si>
    <t>Servicios</t>
  </si>
  <si>
    <t>Trámites</t>
  </si>
  <si>
    <t>Otros</t>
  </si>
  <si>
    <t>Financiamiento con préstamo</t>
  </si>
  <si>
    <t>Inversión fija</t>
  </si>
  <si>
    <t>Plazo meses</t>
  </si>
  <si>
    <t>TEM</t>
  </si>
  <si>
    <t>IIBB + Imp. Munic.</t>
  </si>
  <si>
    <t>Imp. a las Ganancias</t>
  </si>
  <si>
    <t>Resultados</t>
  </si>
  <si>
    <t>Tasa de referencia</t>
  </si>
  <si>
    <t>Tasa de descuento</t>
  </si>
  <si>
    <t>VAN 5 años</t>
  </si>
  <si>
    <t>TIR 5 años</t>
  </si>
  <si>
    <t>Período</t>
  </si>
  <si>
    <t>Ingreso por ventas</t>
  </si>
  <si>
    <t>Préstamo</t>
  </si>
  <si>
    <t>Costos de funcionamiento</t>
  </si>
  <si>
    <t>Deprec. Maq. y Eq.</t>
  </si>
  <si>
    <t>Impuestos</t>
  </si>
  <si>
    <t>Utilidad neta</t>
  </si>
  <si>
    <t>Imp. Ganan.</t>
  </si>
  <si>
    <t>Result. luego de Imp.</t>
  </si>
  <si>
    <t>Flujos de caja netos</t>
  </si>
  <si>
    <t>Flujo de caja neto anual</t>
  </si>
  <si>
    <t>Mes</t>
  </si>
  <si>
    <t>VAN usd$</t>
  </si>
  <si>
    <t>Saldo inicial</t>
  </si>
  <si>
    <t>Interés (Serv. finan.)</t>
  </si>
  <si>
    <t>Amort.</t>
  </si>
  <si>
    <t>Cuota préstamo</t>
  </si>
  <si>
    <t>Saldo final</t>
  </si>
  <si>
    <t>Costo fijo</t>
  </si>
  <si>
    <t>Costo variable</t>
  </si>
  <si>
    <t>Utilidad Bruta</t>
  </si>
  <si>
    <t>IIBB + I.Munp.</t>
  </si>
  <si>
    <t>IVA déb.</t>
  </si>
  <si>
    <t>IVA créd.</t>
  </si>
  <si>
    <t>Al fisco (IVA)</t>
  </si>
  <si>
    <t>Deprec. Maq. y Equipos</t>
  </si>
  <si>
    <t>Impuesto a las Ganancias</t>
  </si>
  <si>
    <t>Resultado luego de Impuestos</t>
  </si>
  <si>
    <t>Interés (Serv. financ.)</t>
  </si>
  <si>
    <t>Flujo de caja</t>
  </si>
  <si>
    <t>Tasa d</t>
  </si>
  <si>
    <t>VAN</t>
  </si>
  <si>
    <t>TIR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</si>
</sst>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[$usd$]#,##0"/>
    <numFmt numFmtId="165" formatCode="&quot;$&quot;#,##0"/>
    <numFmt numFmtId="166" formatCode="[$usd$]#,##0.00"/>
    <numFmt numFmtId="167" formatCode="0.0"/>
    <numFmt numFmtId="168" formatCode="0.0%"/>
    <numFmt numFmtId="169" formatCode="&quot;$&quot;#,##0.00"/>
  </numFmts>
  <fonts count="14">
    <font>
      <sz val="10.0"/>
      <color rgb="FF000000"/>
      <name val="Arial"/>
      <scheme val="minor"/>
    </font>
    <font>
      <sz val="12.0"/>
      <color rgb="FFFFFFFF"/>
      <name val="Arial"/>
      <scheme val="minor"/>
    </font>
    <font>
      <sz val="12.0"/>
      <color theme="1"/>
      <name val="Arial"/>
      <scheme val="minor"/>
    </font>
    <font>
      <sz val="11.0"/>
      <color theme="1"/>
      <name val="Arial"/>
      <scheme val="minor"/>
    </font>
    <font/>
    <font>
      <b/>
      <sz val="11.0"/>
      <color rgb="FFFFFFFF"/>
      <name val="Arial"/>
    </font>
    <font>
      <sz val="11.0"/>
      <color rgb="FF000000"/>
      <name val="Arial"/>
    </font>
    <font>
      <color theme="1"/>
      <name val="Arial"/>
      <scheme val="minor"/>
    </font>
    <font>
      <b/>
      <color rgb="FF000000"/>
      <name val="Arial"/>
      <scheme val="minor"/>
    </font>
    <font>
      <sz val="11.0"/>
      <color rgb="FF000000"/>
      <name val="Calibri"/>
    </font>
    <font>
      <b/>
      <sz val="10.0"/>
      <color rgb="FF000000"/>
      <name val="Arial"/>
      <scheme val="minor"/>
    </font>
    <font>
      <b/>
      <sz val="10.0"/>
      <color theme="1"/>
      <name val="Arial"/>
      <scheme val="minor"/>
    </font>
    <font>
      <sz val="9.0"/>
      <color theme="1"/>
      <name val="Arial"/>
      <scheme val="minor"/>
    </font>
    <font>
      <sz val="9.0"/>
      <color rgb="FFFF0000"/>
      <name val="Arial"/>
      <scheme val="minor"/>
    </font>
  </fonts>
  <fills count="10">
    <fill>
      <patternFill patternType="none"/>
    </fill>
    <fill>
      <patternFill patternType="lightGray"/>
    </fill>
    <fill>
      <patternFill patternType="solid">
        <fgColor rgb="FF1155CC"/>
        <bgColor rgb="FF1155CC"/>
      </patternFill>
    </fill>
    <fill>
      <patternFill patternType="solid">
        <fgColor rgb="FF3C78D8"/>
        <bgColor rgb="FF3C78D8"/>
      </patternFill>
    </fill>
    <fill>
      <patternFill patternType="solid">
        <fgColor rgb="FFC9DAF8"/>
        <bgColor rgb="FFC9DAF8"/>
      </patternFill>
    </fill>
    <fill>
      <patternFill patternType="solid">
        <fgColor rgb="FFFCE5CD"/>
        <bgColor rgb="FFFCE5CD"/>
      </patternFill>
    </fill>
    <fill>
      <patternFill patternType="solid">
        <fgColor rgb="FFD9EAD3"/>
        <bgColor rgb="FFD9EAD3"/>
      </patternFill>
    </fill>
    <fill>
      <patternFill patternType="solid">
        <fgColor rgb="FFEA9999"/>
        <bgColor rgb="FFEA9999"/>
      </patternFill>
    </fill>
    <fill>
      <patternFill patternType="solid">
        <fgColor theme="9"/>
        <bgColor theme="9"/>
      </patternFill>
    </fill>
    <fill>
      <patternFill patternType="solid">
        <fgColor rgb="FF6D9EEB"/>
        <bgColor rgb="FF6D9EEB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readingOrder="0" vertical="center"/>
    </xf>
    <xf borderId="1" fillId="2" fontId="1" numFmtId="0" xfId="0" applyAlignment="1" applyBorder="1" applyFont="1">
      <alignment horizontal="center" vertical="center"/>
    </xf>
    <xf borderId="0" fillId="0" fontId="2" numFmtId="0" xfId="0" applyFont="1"/>
    <xf borderId="2" fillId="0" fontId="3" numFmtId="0" xfId="0" applyAlignment="1" applyBorder="1" applyFont="1">
      <alignment horizontal="center" shrinkToFit="0" textRotation="0" vertical="center" wrapText="1"/>
    </xf>
    <xf borderId="1" fillId="0" fontId="3" numFmtId="0" xfId="0" applyAlignment="1" applyBorder="1" applyFont="1">
      <alignment horizontal="center" readingOrder="0" shrinkToFit="0" vertical="center" wrapText="1"/>
    </xf>
    <xf borderId="1" fillId="0" fontId="3" numFmtId="164" xfId="0" applyAlignment="1" applyBorder="1" applyFont="1" applyNumberFormat="1">
      <alignment horizontal="center" readingOrder="0" shrinkToFit="0" vertical="center" wrapText="1"/>
    </xf>
    <xf borderId="3" fillId="0" fontId="4" numFmtId="0" xfId="0" applyBorder="1" applyFont="1"/>
    <xf borderId="0" fillId="0" fontId="2" numFmtId="0" xfId="0" applyAlignment="1" applyFont="1">
      <alignment readingOrder="0"/>
    </xf>
    <xf borderId="0" fillId="0" fontId="2" numFmtId="164" xfId="0" applyFont="1" applyNumberFormat="1"/>
    <xf borderId="4" fillId="0" fontId="4" numFmtId="0" xfId="0" applyBorder="1" applyFont="1"/>
    <xf borderId="2" fillId="0" fontId="3" numFmtId="0" xfId="0" applyAlignment="1" applyBorder="1" applyFont="1">
      <alignment horizontal="center" readingOrder="0" shrinkToFit="0" textRotation="0" vertical="center" wrapText="1"/>
    </xf>
    <xf borderId="1" fillId="0" fontId="3" numFmtId="164" xfId="0" applyAlignment="1" applyBorder="1" applyFont="1" applyNumberFormat="1">
      <alignment horizontal="center" shrinkToFit="0" vertical="center" wrapText="1"/>
    </xf>
    <xf borderId="0" fillId="0" fontId="3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1" fillId="0" fontId="3" numFmtId="0" xfId="0" applyAlignment="1" applyBorder="1" applyFont="1">
      <alignment horizontal="center" readingOrder="0" shrinkToFit="0" textRotation="0" vertical="center" wrapText="1"/>
    </xf>
    <xf borderId="1" fillId="0" fontId="3" numFmtId="0" xfId="0" applyAlignment="1" applyBorder="1" applyFont="1">
      <alignment readingOrder="0" shrinkToFit="0" vertical="center" wrapText="1"/>
    </xf>
    <xf borderId="1" fillId="0" fontId="3" numFmtId="165" xfId="0" applyAlignment="1" applyBorder="1" applyFont="1" applyNumberFormat="1">
      <alignment horizontal="left" readingOrder="0" shrinkToFit="0" vertical="center" wrapText="1"/>
    </xf>
    <xf borderId="1" fillId="3" fontId="5" numFmtId="0" xfId="0" applyAlignment="1" applyBorder="1" applyFill="1" applyFont="1">
      <alignment horizontal="center" readingOrder="0" shrinkToFit="0" vertical="center" wrapText="1"/>
    </xf>
    <xf borderId="1" fillId="0" fontId="6" numFmtId="0" xfId="0" applyAlignment="1" applyBorder="1" applyFont="1">
      <alignment horizontal="center" readingOrder="0" shrinkToFit="0" wrapText="1"/>
    </xf>
    <xf borderId="1" fillId="0" fontId="6" numFmtId="166" xfId="0" applyAlignment="1" applyBorder="1" applyFont="1" applyNumberFormat="1">
      <alignment horizontal="center" readingOrder="0" shrinkToFit="0" wrapText="1"/>
    </xf>
    <xf borderId="1" fillId="0" fontId="6" numFmtId="9" xfId="0" applyAlignment="1" applyBorder="1" applyFont="1" applyNumberFormat="1">
      <alignment horizontal="center" readingOrder="0" shrinkToFit="0" wrapText="1"/>
    </xf>
    <xf borderId="1" fillId="0" fontId="7" numFmtId="166" xfId="0" applyAlignment="1" applyBorder="1" applyFont="1" applyNumberFormat="1">
      <alignment horizontal="left" shrinkToFit="0" wrapText="1"/>
    </xf>
    <xf borderId="1" fillId="4" fontId="8" numFmtId="0" xfId="0" applyAlignment="1" applyBorder="1" applyFill="1" applyFont="1">
      <alignment readingOrder="0" shrinkToFit="0" wrapText="1"/>
    </xf>
    <xf borderId="1" fillId="0" fontId="7" numFmtId="164" xfId="0" applyBorder="1" applyFont="1" applyNumberFormat="1"/>
    <xf borderId="1" fillId="0" fontId="6" numFmtId="0" xfId="0" applyAlignment="1" applyBorder="1" applyFont="1">
      <alignment horizontal="center" readingOrder="0" shrinkToFit="0" vertical="center" wrapText="1"/>
    </xf>
    <xf borderId="1" fillId="0" fontId="6" numFmtId="165" xfId="0" applyAlignment="1" applyBorder="1" applyFont="1" applyNumberFormat="1">
      <alignment horizontal="center" readingOrder="0" shrinkToFit="0" vertical="center" wrapText="1"/>
    </xf>
    <xf borderId="1" fillId="0" fontId="6" numFmtId="166" xfId="0" applyAlignment="1" applyBorder="1" applyFont="1" applyNumberFormat="1">
      <alignment horizontal="center" readingOrder="0" shrinkToFit="0" vertical="center" wrapText="1"/>
    </xf>
    <xf borderId="1" fillId="0" fontId="6" numFmtId="4" xfId="0" applyAlignment="1" applyBorder="1" applyFont="1" applyNumberFormat="1">
      <alignment horizontal="center" readingOrder="0" shrinkToFit="0" vertical="center" wrapText="1"/>
    </xf>
    <xf borderId="1" fillId="0" fontId="7" numFmtId="166" xfId="0" applyAlignment="1" applyBorder="1" applyFont="1" applyNumberForma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1" fillId="0" fontId="7" numFmtId="0" xfId="0" applyAlignment="1" applyBorder="1" applyFont="1">
      <alignment readingOrder="0" shrinkToFit="0" wrapText="1"/>
    </xf>
    <xf borderId="1" fillId="0" fontId="7" numFmtId="166" xfId="0" applyBorder="1" applyFont="1" applyNumberFormat="1"/>
    <xf borderId="1" fillId="0" fontId="6" numFmtId="167" xfId="0" applyAlignment="1" applyBorder="1" applyFont="1" applyNumberFormat="1">
      <alignment horizontal="center" readingOrder="0" shrinkToFit="0" vertical="center" wrapText="1"/>
    </xf>
    <xf borderId="0" fillId="0" fontId="7" numFmtId="0" xfId="0" applyAlignment="1" applyFont="1">
      <alignment readingOrder="0" shrinkToFit="0" wrapText="1"/>
    </xf>
    <xf borderId="0" fillId="0" fontId="7" numFmtId="166" xfId="0" applyFont="1" applyNumberFormat="1"/>
    <xf borderId="0" fillId="0" fontId="7" numFmtId="0" xfId="0" applyAlignment="1" applyFont="1">
      <alignment readingOrder="0"/>
    </xf>
    <xf borderId="0" fillId="0" fontId="9" numFmtId="0" xfId="0" applyAlignment="1" applyFont="1">
      <alignment horizontal="center" readingOrder="0" shrinkToFit="0" vertical="bottom" wrapText="0"/>
    </xf>
    <xf borderId="0" fillId="0" fontId="9" numFmtId="0" xfId="0" applyAlignment="1" applyFont="1">
      <alignment shrinkToFit="0" vertical="bottom" wrapText="0"/>
    </xf>
    <xf borderId="0" fillId="0" fontId="9" numFmtId="0" xfId="0" applyAlignment="1" applyFont="1">
      <alignment readingOrder="0" shrinkToFit="0" vertical="bottom" wrapText="0"/>
    </xf>
    <xf borderId="0" fillId="0" fontId="9" numFmtId="165" xfId="0" applyAlignment="1" applyFont="1" applyNumberFormat="1">
      <alignment horizontal="right" readingOrder="0" shrinkToFit="0" vertical="bottom" wrapText="0"/>
    </xf>
    <xf borderId="0" fillId="0" fontId="9" numFmtId="0" xfId="0" applyAlignment="1" applyFont="1">
      <alignment horizontal="right" readingOrder="0" shrinkToFit="0" vertical="bottom" wrapText="0"/>
    </xf>
    <xf borderId="0" fillId="0" fontId="9" numFmtId="165" xfId="0" applyAlignment="1" applyFont="1" applyNumberFormat="1">
      <alignment readingOrder="0" shrinkToFit="0" vertical="bottom" wrapText="0"/>
    </xf>
    <xf borderId="0" fillId="0" fontId="9" numFmtId="167" xfId="0" applyAlignment="1" applyFont="1" applyNumberFormat="1">
      <alignment horizontal="right" readingOrder="0" shrinkToFit="0" vertical="bottom" wrapText="0"/>
    </xf>
    <xf borderId="0" fillId="0" fontId="9" numFmtId="0" xfId="0" applyAlignment="1" applyFont="1">
      <alignment readingOrder="0" vertical="bottom"/>
    </xf>
    <xf borderId="0" fillId="0" fontId="9" numFmtId="3" xfId="0" applyAlignment="1" applyFont="1" applyNumberFormat="1">
      <alignment horizontal="right" readingOrder="0" shrinkToFit="0" vertical="bottom" wrapText="0"/>
    </xf>
    <xf borderId="0" fillId="0" fontId="9" numFmtId="1" xfId="0" applyAlignment="1" applyFont="1" applyNumberFormat="1">
      <alignment shrinkToFit="0" vertical="bottom" wrapText="0"/>
    </xf>
    <xf borderId="0" fillId="0" fontId="9" numFmtId="10" xfId="0" applyAlignment="1" applyFont="1" applyNumberFormat="1">
      <alignment readingOrder="0" shrinkToFit="0" vertical="bottom" wrapText="0"/>
    </xf>
    <xf borderId="0" fillId="0" fontId="9" numFmtId="3" xfId="0" applyAlignment="1" applyFont="1" applyNumberFormat="1">
      <alignment shrinkToFit="0" vertical="bottom" wrapText="0"/>
    </xf>
    <xf borderId="0" fillId="0" fontId="9" numFmtId="3" xfId="0" applyAlignment="1" applyFont="1" applyNumberFormat="1">
      <alignment readingOrder="0" shrinkToFit="0" vertical="bottom" wrapText="0"/>
    </xf>
    <xf borderId="0" fillId="0" fontId="7" numFmtId="0" xfId="0" applyAlignment="1" applyFont="1">
      <alignment horizontal="center" readingOrder="0"/>
    </xf>
    <xf borderId="0" fillId="0" fontId="7" numFmtId="165" xfId="0" applyAlignment="1" applyFont="1" applyNumberFormat="1">
      <alignment readingOrder="0"/>
    </xf>
    <xf borderId="0" fillId="0" fontId="7" numFmtId="165" xfId="0" applyFont="1" applyNumberFormat="1"/>
    <xf borderId="0" fillId="0" fontId="7" numFmtId="10" xfId="0" applyAlignment="1" applyFont="1" applyNumberFormat="1">
      <alignment readingOrder="0"/>
    </xf>
    <xf borderId="0" fillId="0" fontId="7" numFmtId="10" xfId="0" applyFont="1" applyNumberFormat="1"/>
    <xf borderId="0" fillId="0" fontId="7" numFmtId="168" xfId="0" applyFont="1" applyNumberFormat="1"/>
    <xf borderId="0" fillId="0" fontId="7" numFmtId="169" xfId="0" applyFont="1" applyNumberFormat="1"/>
    <xf borderId="5" fillId="5" fontId="10" numFmtId="0" xfId="0" applyAlignment="1" applyBorder="1" applyFill="1" applyFont="1">
      <alignment horizontal="center" readingOrder="0" shrinkToFit="0" vertical="center" wrapText="1"/>
    </xf>
    <xf borderId="6" fillId="0" fontId="4" numFmtId="0" xfId="0" applyBorder="1" applyFont="1"/>
    <xf borderId="2" fillId="6" fontId="10" numFmtId="0" xfId="0" applyAlignment="1" applyBorder="1" applyFill="1" applyFont="1">
      <alignment horizontal="center" readingOrder="0" shrinkToFit="0" vertical="center" wrapText="1"/>
    </xf>
    <xf borderId="1" fillId="6" fontId="11" numFmtId="0" xfId="0" applyAlignment="1" applyBorder="1" applyFont="1">
      <alignment horizontal="center" shrinkToFit="0" vertical="center" wrapText="1"/>
    </xf>
    <xf borderId="5" fillId="7" fontId="10" numFmtId="0" xfId="0" applyAlignment="1" applyBorder="1" applyFill="1" applyFont="1">
      <alignment horizontal="center" readingOrder="0" shrinkToFit="0" vertical="center" wrapText="1"/>
    </xf>
    <xf borderId="5" fillId="8" fontId="10" numFmtId="0" xfId="0" applyAlignment="1" applyBorder="1" applyFill="1" applyFont="1">
      <alignment horizontal="center" readingOrder="0" shrinkToFit="0" vertical="center" wrapText="1"/>
    </xf>
    <xf borderId="2" fillId="6" fontId="11" numFmtId="0" xfId="0" applyAlignment="1" applyBorder="1" applyFont="1">
      <alignment horizontal="center" readingOrder="0" shrinkToFit="0" vertical="center" wrapText="1"/>
    </xf>
    <xf borderId="7" fillId="0" fontId="4" numFmtId="0" xfId="0" applyBorder="1" applyFont="1"/>
    <xf borderId="2" fillId="8" fontId="10" numFmtId="0" xfId="0" applyAlignment="1" applyBorder="1" applyFont="1">
      <alignment horizontal="center" readingOrder="0" shrinkToFit="0" vertical="center" wrapText="1"/>
    </xf>
    <xf borderId="2" fillId="7" fontId="10" numFmtId="0" xfId="0" applyAlignment="1" applyBorder="1" applyFont="1">
      <alignment horizontal="center" readingOrder="0" shrinkToFit="0" vertical="center" wrapText="1"/>
    </xf>
    <xf borderId="2" fillId="9" fontId="10" numFmtId="0" xfId="0" applyAlignment="1" applyBorder="1" applyFill="1" applyFont="1">
      <alignment horizontal="center" readingOrder="0" shrinkToFit="0" vertical="center" wrapText="1"/>
    </xf>
    <xf borderId="0" fillId="5" fontId="7" numFmtId="10" xfId="0" applyAlignment="1" applyFont="1" applyNumberFormat="1">
      <alignment readingOrder="0"/>
    </xf>
    <xf borderId="1" fillId="5" fontId="7" numFmtId="0" xfId="0" applyAlignment="1" applyBorder="1" applyFont="1">
      <alignment horizontal="right" readingOrder="0"/>
    </xf>
    <xf borderId="1" fillId="5" fontId="10" numFmtId="0" xfId="0" applyAlignment="1" applyBorder="1" applyFont="1">
      <alignment horizontal="center" readingOrder="0" shrinkToFit="0" vertical="center" wrapText="1"/>
    </xf>
    <xf borderId="1" fillId="6" fontId="11" numFmtId="0" xfId="0" applyAlignment="1" applyBorder="1" applyFont="1">
      <alignment horizontal="center" readingOrder="0" shrinkToFit="0" vertical="center" wrapText="1"/>
    </xf>
    <xf borderId="1" fillId="7" fontId="10" numFmtId="0" xfId="0" applyAlignment="1" applyBorder="1" applyFont="1">
      <alignment horizontal="center" readingOrder="0" shrinkToFit="0" vertical="center" wrapText="1"/>
    </xf>
    <xf borderId="1" fillId="7" fontId="10" numFmtId="165" xfId="0" applyAlignment="1" applyBorder="1" applyFont="1" applyNumberFormat="1">
      <alignment horizontal="center" readingOrder="0" shrinkToFit="0" vertical="center" wrapText="1"/>
    </xf>
    <xf borderId="1" fillId="8" fontId="10" numFmtId="0" xfId="0" applyAlignment="1" applyBorder="1" applyFont="1">
      <alignment horizontal="center" readingOrder="0" shrinkToFit="0" vertical="center" wrapText="1"/>
    </xf>
    <xf borderId="1" fillId="0" fontId="7" numFmtId="0" xfId="0" applyAlignment="1" applyBorder="1" applyFont="1">
      <alignment horizontal="right" readingOrder="0"/>
    </xf>
    <xf borderId="1" fillId="0" fontId="7" numFmtId="165" xfId="0" applyAlignment="1" applyBorder="1" applyFont="1" applyNumberFormat="1">
      <alignment horizontal="right"/>
    </xf>
    <xf borderId="1" fillId="5" fontId="12" numFmtId="0" xfId="0" applyAlignment="1" applyBorder="1" applyFont="1">
      <alignment horizontal="center" readingOrder="0" vertical="center"/>
    </xf>
    <xf borderId="1" fillId="0" fontId="12" numFmtId="0" xfId="0" applyAlignment="1" applyBorder="1" applyFont="1">
      <alignment horizontal="center" readingOrder="0" vertical="center"/>
    </xf>
    <xf borderId="1" fillId="0" fontId="12" numFmtId="165" xfId="0" applyAlignment="1" applyBorder="1" applyFont="1" applyNumberFormat="1">
      <alignment horizontal="center" vertical="center"/>
    </xf>
    <xf borderId="1" fillId="0" fontId="13" numFmtId="165" xfId="0" applyAlignment="1" applyBorder="1" applyFont="1" applyNumberFormat="1">
      <alignment horizontal="center" vertical="center"/>
    </xf>
    <xf borderId="1" fillId="0" fontId="13" numFmtId="0" xfId="0" applyAlignment="1" applyBorder="1" applyFont="1">
      <alignment horizontal="center" vertical="center"/>
    </xf>
    <xf borderId="1" fillId="0" fontId="12" numFmtId="0" xfId="0" applyAlignment="1" applyBorder="1" applyFont="1">
      <alignment horizontal="center" vertical="center"/>
    </xf>
    <xf borderId="1" fillId="0" fontId="13" numFmtId="0" xfId="0" applyAlignment="1" applyBorder="1" applyFont="1">
      <alignment horizontal="center" readingOrder="0" vertical="center"/>
    </xf>
    <xf borderId="1" fillId="0" fontId="7" numFmtId="169" xfId="0" applyAlignment="1" applyBorder="1" applyFont="1" applyNumberFormat="1">
      <alignment horizontal="right"/>
    </xf>
    <xf borderId="2" fillId="5" fontId="12" numFmtId="0" xfId="0" applyAlignment="1" applyBorder="1" applyFont="1">
      <alignment horizontal="center" readingOrder="0" vertical="center"/>
    </xf>
    <xf borderId="2" fillId="0" fontId="12" numFmtId="165" xfId="0" applyAlignment="1" applyBorder="1" applyFont="1" applyNumberFormat="1">
      <alignment horizontal="center" vertical="center"/>
    </xf>
    <xf borderId="1" fillId="0" fontId="13" numFmtId="165" xfId="0" applyAlignment="1" applyBorder="1" applyFont="1" applyNumberFormat="1">
      <alignment horizontal="center" readingOrder="0" vertical="center"/>
    </xf>
    <xf borderId="1" fillId="0" fontId="13" numFmtId="165" xfId="0" applyAlignment="1" applyBorder="1" applyFont="1" applyNumberFormat="1">
      <alignment horizontal="center" vertical="center"/>
    </xf>
    <xf borderId="1" fillId="0" fontId="12" numFmtId="165" xfId="0" applyAlignment="1" applyBorder="1" applyFont="1" applyNumberFormat="1">
      <alignment horizontal="center" vertical="center"/>
    </xf>
    <xf borderId="1" fillId="0" fontId="13" numFmtId="169" xfId="0" applyAlignment="1" applyBorder="1" applyFont="1" applyNumberFormat="1">
      <alignment horizontal="center" vertical="center"/>
    </xf>
    <xf borderId="0" fillId="0" fontId="12" numFmtId="0" xfId="0" applyAlignment="1" applyFont="1">
      <alignment horizontal="center" readingOrder="0" vertical="center"/>
    </xf>
    <xf borderId="0" fillId="0" fontId="12" numFmtId="165" xfId="0" applyAlignment="1" applyFont="1" applyNumberFormat="1">
      <alignment horizontal="center" vertical="center"/>
    </xf>
    <xf borderId="0" fillId="0" fontId="13" numFmtId="165" xfId="0" applyAlignment="1" applyFont="1" applyNumberFormat="1">
      <alignment horizontal="center" vertical="center"/>
    </xf>
    <xf borderId="0" fillId="0" fontId="13" numFmtId="169" xfId="0" applyAlignment="1" applyFont="1" applyNumberFormat="1">
      <alignment horizontal="center" vertical="center"/>
    </xf>
    <xf borderId="0" fillId="0" fontId="13" numFmtId="165" xfId="0" applyAlignment="1" applyFont="1" applyNumberFormat="1">
      <alignment horizontal="center" readingOrder="0" vertical="center"/>
    </xf>
    <xf borderId="1" fillId="5" fontId="7" numFmtId="0" xfId="0" applyAlignment="1" applyBorder="1" applyFont="1">
      <alignment horizontal="center" readingOrder="0" shrinkToFit="0" vertical="center" wrapText="1"/>
    </xf>
    <xf borderId="1" fillId="5" fontId="7" numFmtId="0" xfId="0" applyAlignment="1" applyBorder="1" applyFont="1">
      <alignment readingOrder="0"/>
    </xf>
    <xf borderId="1" fillId="5" fontId="7" numFmtId="0" xfId="0" applyBorder="1" applyFont="1"/>
    <xf borderId="1" fillId="5" fontId="7" numFmtId="168" xfId="0" applyBorder="1" applyFont="1" applyNumberFormat="1"/>
    <xf borderId="1" fillId="0" fontId="7" numFmtId="0" xfId="0" applyAlignment="1" applyBorder="1" applyFont="1">
      <alignment readingOrder="0"/>
    </xf>
    <xf borderId="1" fillId="0" fontId="7" numFmtId="10" xfId="0" applyAlignment="1" applyBorder="1" applyFont="1" applyNumberFormat="1">
      <alignment readingOrder="0"/>
    </xf>
    <xf borderId="1" fillId="0" fontId="7" numFmtId="0" xfId="0" applyBorder="1" applyFont="1"/>
    <xf borderId="1" fillId="0" fontId="7" numFmtId="165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VAN - Tiempo [meses]</a:t>
            </a:r>
          </a:p>
        </c:rich>
      </c:tx>
      <c:overlay val="0"/>
    </c:title>
    <c:plotArea>
      <c:layout/>
      <c:areaChart>
        <c:ser>
          <c:idx val="0"/>
          <c:order val="0"/>
          <c:tx>
            <c:strRef>
              <c:f>'Flujo caja años'!$Y$15</c:f>
            </c:strRef>
          </c:tx>
          <c:spPr>
            <a:solidFill>
              <a:srgbClr val="E69138">
                <a:alpha val="30000"/>
              </a:srgbClr>
            </a:solidFill>
            <a:ln cmpd="sng">
              <a:solidFill>
                <a:srgbClr val="E69138">
                  <a:alpha val="100000"/>
                </a:srgbClr>
              </a:solidFill>
            </a:ln>
          </c:spPr>
          <c:cat>
            <c:strRef>
              <c:f>'Flujo caja años'!$X$16:$X$64</c:f>
            </c:strRef>
          </c:cat>
          <c:val>
            <c:numRef>
              <c:f>'Flujo caja años'!$Y$16:$Y$64</c:f>
              <c:numCache/>
            </c:numRef>
          </c:val>
        </c:ser>
        <c:axId val="347416134"/>
        <c:axId val="208312842"/>
      </c:areaChart>
      <c:catAx>
        <c:axId val="34741613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Mes</a:t>
                </a:r>
              </a:p>
            </c:rich>
          </c:tx>
          <c:overlay val="0"/>
        </c:title>
        <c:numFmt formatCode="General" sourceLinked="1"/>
        <c:majorTickMark val="cross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08312842"/>
      </c:catAx>
      <c:valAx>
        <c:axId val="20831284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VAN [usd$]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347416134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VAN contra Tasa d</a:t>
            </a:r>
          </a:p>
        </c:rich>
      </c:tx>
      <c:overlay val="0"/>
    </c:title>
    <c:plotArea>
      <c:layout/>
      <c:lineChart>
        <c:ser>
          <c:idx val="0"/>
          <c:order val="0"/>
          <c:tx>
            <c:strRef>
              <c:f>'Hoja 7'!$H$140</c:f>
            </c:strRef>
          </c:tx>
          <c:spPr>
            <a:ln cmpd="sng">
              <a:solidFill>
                <a:srgbClr val="4F81BD"/>
              </a:solidFill>
            </a:ln>
          </c:spPr>
          <c:marker>
            <c:symbol val="none"/>
          </c:marker>
          <c:cat>
            <c:strRef>
              <c:f>'Hoja 7'!$G$141:$G$241</c:f>
            </c:strRef>
          </c:cat>
          <c:val>
            <c:numRef>
              <c:f>'Hoja 7'!$H$141:$H$241</c:f>
              <c:numCache/>
            </c:numRef>
          </c:val>
          <c:smooth val="0"/>
        </c:ser>
        <c:axId val="702822556"/>
        <c:axId val="2126095425"/>
      </c:lineChart>
      <c:catAx>
        <c:axId val="7028225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Tasa d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26095425"/>
      </c:catAx>
      <c:valAx>
        <c:axId val="212609542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VAN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702822556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21</xdr:col>
      <xdr:colOff>28575</xdr:colOff>
      <xdr:row>64</xdr:row>
      <xdr:rowOff>66675</xdr:rowOff>
    </xdr:from>
    <xdr:ext cx="5715000" cy="3533775"/>
    <xdr:graphicFrame>
      <xdr:nvGraphicFramePr>
        <xdr:cNvPr id="1666775833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219075</xdr:colOff>
      <xdr:row>219</xdr:row>
      <xdr:rowOff>9525</xdr:rowOff>
    </xdr:from>
    <xdr:ext cx="5715000" cy="3533775"/>
    <xdr:graphicFrame>
      <xdr:nvGraphicFramePr>
        <xdr:cNvPr id="2001694996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13.5"/>
    <col customWidth="1" min="2" max="2" width="39.63"/>
    <col customWidth="1" min="3" max="3" width="15.0"/>
    <col customWidth="1" min="4" max="4" width="12.63"/>
  </cols>
  <sheetData>
    <row r="1" ht="27.0" customHeight="1">
      <c r="A1" s="1" t="s">
        <v>0</v>
      </c>
      <c r="B1" s="2" t="s">
        <v>1</v>
      </c>
      <c r="C1" s="1" t="s">
        <v>2</v>
      </c>
      <c r="D1" s="3"/>
      <c r="E1" s="3"/>
      <c r="F1" s="3"/>
      <c r="G1" s="3"/>
    </row>
    <row r="2" ht="22.5" customHeight="1">
      <c r="A2" s="4" t="s">
        <v>3</v>
      </c>
      <c r="B2" s="5" t="s">
        <v>4</v>
      </c>
      <c r="C2" s="6">
        <v>9379.0</v>
      </c>
      <c r="D2" s="3"/>
      <c r="E2" s="3"/>
      <c r="F2" s="3"/>
      <c r="G2" s="3"/>
    </row>
    <row r="3" ht="22.5" customHeight="1">
      <c r="A3" s="7"/>
      <c r="B3" s="5" t="s">
        <v>5</v>
      </c>
      <c r="C3" s="6">
        <v>3230.0</v>
      </c>
      <c r="D3" s="3"/>
      <c r="E3" s="8" t="s">
        <v>6</v>
      </c>
      <c r="F3" s="9">
        <f>SUM(C2:C9)</f>
        <v>26435</v>
      </c>
      <c r="G3" s="3"/>
    </row>
    <row r="4" ht="22.5" customHeight="1">
      <c r="A4" s="7"/>
      <c r="B4" s="5" t="s">
        <v>7</v>
      </c>
      <c r="C4" s="6">
        <v>1828.0</v>
      </c>
      <c r="D4" s="3"/>
      <c r="E4" s="3"/>
      <c r="F4" s="3"/>
      <c r="G4" s="3"/>
    </row>
    <row r="5" ht="22.5" customHeight="1">
      <c r="A5" s="7"/>
      <c r="B5" s="5" t="s">
        <v>8</v>
      </c>
      <c r="C5" s="6">
        <v>1072.0</v>
      </c>
      <c r="D5" s="3"/>
      <c r="E5" s="3"/>
      <c r="F5" s="3"/>
      <c r="G5" s="3"/>
    </row>
    <row r="6" ht="22.5" customHeight="1">
      <c r="A6" s="7"/>
      <c r="B6" s="5" t="s">
        <v>9</v>
      </c>
      <c r="C6" s="6">
        <v>610.0</v>
      </c>
      <c r="D6" s="3"/>
      <c r="E6" s="3"/>
      <c r="F6" s="3"/>
      <c r="G6" s="3"/>
    </row>
    <row r="7" ht="22.5" customHeight="1">
      <c r="A7" s="7"/>
      <c r="B7" s="5" t="s">
        <v>10</v>
      </c>
      <c r="C7" s="6">
        <v>496.0</v>
      </c>
      <c r="D7" s="3"/>
      <c r="E7" s="3"/>
      <c r="F7" s="3"/>
      <c r="G7" s="3"/>
    </row>
    <row r="8" ht="22.5" customHeight="1">
      <c r="A8" s="7"/>
      <c r="B8" s="5" t="s">
        <v>11</v>
      </c>
      <c r="C8" s="6">
        <v>9239.0</v>
      </c>
      <c r="D8" s="3"/>
      <c r="E8" s="3"/>
      <c r="F8" s="3"/>
      <c r="G8" s="3"/>
    </row>
    <row r="9" ht="22.5" customHeight="1">
      <c r="A9" s="10"/>
      <c r="B9" s="5" t="s">
        <v>12</v>
      </c>
      <c r="C9" s="6">
        <v>581.0</v>
      </c>
      <c r="D9" s="3"/>
      <c r="E9" s="3"/>
      <c r="F9" s="3"/>
      <c r="G9" s="3"/>
    </row>
    <row r="10" ht="22.5" customHeight="1">
      <c r="A10" s="11" t="s">
        <v>13</v>
      </c>
      <c r="B10" s="5" t="s">
        <v>14</v>
      </c>
      <c r="C10" s="6">
        <v>444.0</v>
      </c>
      <c r="D10" s="3"/>
      <c r="E10" s="3"/>
      <c r="F10" s="3"/>
      <c r="G10" s="3"/>
    </row>
    <row r="11" ht="22.5" customHeight="1">
      <c r="A11" s="7"/>
      <c r="B11" s="5" t="s">
        <v>15</v>
      </c>
      <c r="C11" s="6">
        <v>2561.0</v>
      </c>
      <c r="D11" s="3"/>
      <c r="E11" s="8" t="s">
        <v>16</v>
      </c>
      <c r="F11" s="9">
        <f>SUM(C10:C22)</f>
        <v>24946</v>
      </c>
      <c r="G11" s="3"/>
    </row>
    <row r="12" ht="22.5" customHeight="1">
      <c r="A12" s="7"/>
      <c r="B12" s="5" t="s">
        <v>17</v>
      </c>
      <c r="C12" s="6">
        <v>4912.0</v>
      </c>
      <c r="D12" s="3"/>
      <c r="E12" s="3"/>
      <c r="F12" s="3"/>
      <c r="G12" s="3"/>
    </row>
    <row r="13" ht="22.5" customHeight="1">
      <c r="A13" s="7"/>
      <c r="B13" s="5" t="s">
        <v>18</v>
      </c>
      <c r="C13" s="6">
        <v>6712.0</v>
      </c>
      <c r="D13" s="3"/>
      <c r="E13" s="3"/>
      <c r="F13" s="3"/>
      <c r="G13" s="3"/>
    </row>
    <row r="14" ht="22.5" customHeight="1">
      <c r="A14" s="7"/>
      <c r="B14" s="5" t="s">
        <v>19</v>
      </c>
      <c r="C14" s="6">
        <v>90.0</v>
      </c>
      <c r="D14" s="3"/>
      <c r="E14" s="3"/>
      <c r="F14" s="3"/>
      <c r="G14" s="3"/>
    </row>
    <row r="15" ht="22.5" customHeight="1">
      <c r="A15" s="7"/>
      <c r="B15" s="5" t="s">
        <v>20</v>
      </c>
      <c r="C15" s="6">
        <v>236.0</v>
      </c>
      <c r="D15" s="3"/>
      <c r="E15" s="3"/>
      <c r="F15" s="3"/>
      <c r="G15" s="3"/>
    </row>
    <row r="16" ht="22.5" customHeight="1">
      <c r="A16" s="7"/>
      <c r="B16" s="5" t="s">
        <v>21</v>
      </c>
      <c r="C16" s="6">
        <v>775.0</v>
      </c>
      <c r="D16" s="3"/>
      <c r="E16" s="3"/>
      <c r="F16" s="3"/>
      <c r="G16" s="3"/>
    </row>
    <row r="17" ht="22.5" customHeight="1">
      <c r="A17" s="7"/>
      <c r="B17" s="5" t="s">
        <v>22</v>
      </c>
      <c r="C17" s="6">
        <v>728.0</v>
      </c>
      <c r="D17" s="3"/>
      <c r="E17" s="3"/>
      <c r="F17" s="3"/>
      <c r="G17" s="3"/>
    </row>
    <row r="18" ht="22.5" customHeight="1">
      <c r="A18" s="7"/>
      <c r="B18" s="5" t="s">
        <v>23</v>
      </c>
      <c r="C18" s="6">
        <v>168.0</v>
      </c>
      <c r="D18" s="3"/>
      <c r="E18" s="3"/>
      <c r="F18" s="3"/>
      <c r="G18" s="3"/>
    </row>
    <row r="19" ht="22.5" customHeight="1">
      <c r="A19" s="7"/>
      <c r="B19" s="5" t="s">
        <v>24</v>
      </c>
      <c r="C19" s="6">
        <v>1243.0</v>
      </c>
      <c r="D19" s="3"/>
      <c r="E19" s="3"/>
      <c r="F19" s="3"/>
      <c r="G19" s="3"/>
    </row>
    <row r="20" ht="22.5" customHeight="1">
      <c r="A20" s="7"/>
      <c r="B20" s="5" t="s">
        <v>25</v>
      </c>
      <c r="C20" s="6">
        <v>930.0</v>
      </c>
      <c r="D20" s="3"/>
      <c r="E20" s="3"/>
      <c r="F20" s="3"/>
      <c r="G20" s="3"/>
    </row>
    <row r="21" ht="22.5" customHeight="1">
      <c r="A21" s="7"/>
      <c r="B21" s="5" t="s">
        <v>26</v>
      </c>
      <c r="C21" s="6">
        <v>1105.0</v>
      </c>
      <c r="D21" s="3"/>
      <c r="E21" s="3"/>
      <c r="F21" s="3"/>
      <c r="G21" s="3"/>
    </row>
    <row r="22" ht="22.5" customHeight="1">
      <c r="A22" s="10"/>
      <c r="B22" s="5" t="s">
        <v>27</v>
      </c>
      <c r="C22" s="6">
        <v>5042.0</v>
      </c>
      <c r="D22" s="3"/>
      <c r="E22" s="3"/>
      <c r="F22" s="3"/>
      <c r="G22" s="3"/>
    </row>
    <row r="23" ht="22.5" customHeight="1">
      <c r="A23" s="11" t="s">
        <v>28</v>
      </c>
      <c r="B23" s="5" t="s">
        <v>29</v>
      </c>
      <c r="C23" s="6">
        <v>840.0</v>
      </c>
      <c r="D23" s="3"/>
      <c r="E23" s="3"/>
      <c r="F23" s="3"/>
      <c r="G23" s="3"/>
    </row>
    <row r="24" ht="22.5" customHeight="1">
      <c r="A24" s="7"/>
      <c r="B24" s="5" t="s">
        <v>30</v>
      </c>
      <c r="C24" s="6">
        <v>500.0</v>
      </c>
      <c r="D24" s="3"/>
      <c r="E24" s="8" t="s">
        <v>31</v>
      </c>
      <c r="F24" s="9">
        <f>SUM(C23:C30)</f>
        <v>8709.4</v>
      </c>
      <c r="G24" s="3"/>
    </row>
    <row r="25" ht="22.5" customHeight="1">
      <c r="A25" s="7"/>
      <c r="B25" s="5" t="s">
        <v>32</v>
      </c>
      <c r="C25" s="6">
        <v>855.0</v>
      </c>
      <c r="D25" s="3"/>
      <c r="E25" s="3"/>
      <c r="F25" s="3"/>
      <c r="G25" s="3"/>
    </row>
    <row r="26" ht="22.5" customHeight="1">
      <c r="A26" s="7"/>
      <c r="B26" s="5" t="s">
        <v>33</v>
      </c>
      <c r="C26" s="6">
        <v>2742.0</v>
      </c>
      <c r="D26" s="3"/>
      <c r="E26" s="3"/>
      <c r="F26" s="3"/>
      <c r="G26" s="3"/>
    </row>
    <row r="27" ht="22.5" customHeight="1">
      <c r="A27" s="7"/>
      <c r="B27" s="5" t="s">
        <v>34</v>
      </c>
      <c r="C27" s="12">
        <f t="shared" ref="C27:C28" si="1">C23</f>
        <v>840</v>
      </c>
      <c r="D27" s="3"/>
      <c r="E27" s="3"/>
      <c r="F27" s="3"/>
      <c r="G27" s="3"/>
    </row>
    <row r="28" ht="22.5" customHeight="1">
      <c r="A28" s="7"/>
      <c r="B28" s="5" t="s">
        <v>35</v>
      </c>
      <c r="C28" s="12">
        <f t="shared" si="1"/>
        <v>500</v>
      </c>
      <c r="D28" s="3"/>
      <c r="E28" s="3"/>
      <c r="F28" s="3"/>
      <c r="G28" s="3"/>
    </row>
    <row r="29" ht="22.5" customHeight="1">
      <c r="A29" s="7"/>
      <c r="B29" s="5" t="s">
        <v>36</v>
      </c>
      <c r="C29" s="12">
        <f>C25*0.6</f>
        <v>513</v>
      </c>
      <c r="D29" s="3"/>
      <c r="E29" s="3"/>
      <c r="F29" s="3"/>
      <c r="G29" s="3"/>
    </row>
    <row r="30" ht="22.5" customHeight="1">
      <c r="A30" s="10"/>
      <c r="B30" s="5" t="s">
        <v>37</v>
      </c>
      <c r="C30" s="12">
        <f>C26*0.7</f>
        <v>1919.4</v>
      </c>
      <c r="D30" s="3"/>
      <c r="E30" s="3"/>
      <c r="F30" s="3"/>
      <c r="G30" s="3"/>
    </row>
    <row r="31" ht="22.5" customHeight="1">
      <c r="A31" s="11" t="s">
        <v>38</v>
      </c>
      <c r="B31" s="5" t="s">
        <v>39</v>
      </c>
      <c r="C31" s="6">
        <v>400.0</v>
      </c>
      <c r="D31" s="3"/>
      <c r="E31" s="3"/>
      <c r="F31" s="3"/>
      <c r="G31" s="3"/>
    </row>
    <row r="32" ht="22.5" customHeight="1">
      <c r="A32" s="7"/>
      <c r="B32" s="5" t="s">
        <v>40</v>
      </c>
      <c r="C32" s="6">
        <v>90.0</v>
      </c>
      <c r="D32" s="3"/>
      <c r="E32" s="8" t="s">
        <v>41</v>
      </c>
      <c r="F32" s="9">
        <f>SUM(C31:C33)</f>
        <v>590</v>
      </c>
      <c r="G32" s="3"/>
    </row>
    <row r="33" ht="22.5" customHeight="1">
      <c r="A33" s="10"/>
      <c r="B33" s="5" t="s">
        <v>42</v>
      </c>
      <c r="C33" s="6">
        <v>100.0</v>
      </c>
      <c r="D33" s="3"/>
      <c r="E33" s="8" t="s">
        <v>43</v>
      </c>
      <c r="F33" s="9">
        <f>C35-F32-F24-F11-F3</f>
        <v>9102.06</v>
      </c>
      <c r="G33" s="3"/>
    </row>
    <row r="34" ht="15.75" customHeight="1">
      <c r="A34" s="3"/>
      <c r="B34" s="3"/>
      <c r="C34" s="3"/>
      <c r="D34" s="3"/>
      <c r="E34" s="3"/>
      <c r="F34" s="3"/>
      <c r="G34" s="3"/>
    </row>
    <row r="35" ht="15.75" customHeight="1">
      <c r="A35" s="3"/>
      <c r="B35" s="8" t="s">
        <v>44</v>
      </c>
      <c r="C35" s="9">
        <f>(1.15*SUM(C2:C33))</f>
        <v>69782.46</v>
      </c>
      <c r="D35" s="3"/>
      <c r="E35" s="3"/>
      <c r="F35" s="3"/>
      <c r="G35" s="3"/>
    </row>
    <row r="36" ht="15.75" customHeight="1">
      <c r="B36" s="13" t="s">
        <v>45</v>
      </c>
      <c r="C36" s="14">
        <f>Financiero!I2*5+Financiero!I3*2</f>
        <v>18562.76176</v>
      </c>
      <c r="D36" s="3"/>
      <c r="E36" s="3"/>
      <c r="F36" s="3"/>
      <c r="G36" s="3"/>
    </row>
    <row r="37" ht="15.75" customHeight="1">
      <c r="A37" s="15" t="s">
        <v>46</v>
      </c>
      <c r="B37" s="16" t="s">
        <v>47</v>
      </c>
      <c r="C37" s="17">
        <v>30600.0</v>
      </c>
      <c r="D37" s="3"/>
      <c r="E37" s="3"/>
      <c r="F37" s="3"/>
      <c r="G37" s="3"/>
    </row>
    <row r="38" ht="15.75" customHeight="1">
      <c r="A38" s="3"/>
      <c r="B38" s="3"/>
      <c r="C38" s="3"/>
      <c r="D38" s="3"/>
      <c r="E38" s="3"/>
      <c r="F38" s="3"/>
      <c r="G38" s="3"/>
    </row>
    <row r="39" ht="15.75" customHeight="1">
      <c r="A39" s="3"/>
      <c r="B39" s="3"/>
      <c r="C39" s="3"/>
      <c r="D39" s="3"/>
      <c r="E39" s="3"/>
      <c r="F39" s="3"/>
      <c r="G39" s="3"/>
    </row>
    <row r="40" ht="15.75" customHeight="1">
      <c r="A40" s="3"/>
      <c r="B40" s="3"/>
      <c r="C40" s="3"/>
      <c r="D40" s="3"/>
      <c r="E40" s="3"/>
      <c r="F40" s="3"/>
      <c r="G40" s="3"/>
    </row>
    <row r="41" ht="15.75" customHeight="1">
      <c r="A41" s="3"/>
      <c r="B41" s="3"/>
      <c r="C41" s="3"/>
      <c r="D41" s="3"/>
      <c r="E41" s="3"/>
      <c r="F41" s="3"/>
      <c r="G41" s="3"/>
    </row>
    <row r="42" ht="15.75" customHeight="1">
      <c r="A42" s="3"/>
      <c r="B42" s="3"/>
      <c r="C42" s="3"/>
      <c r="D42" s="3"/>
      <c r="E42" s="3"/>
      <c r="F42" s="3"/>
      <c r="G42" s="3"/>
    </row>
    <row r="43" ht="15.75" customHeight="1">
      <c r="A43" s="3"/>
      <c r="B43" s="3"/>
      <c r="C43" s="3"/>
      <c r="D43" s="3"/>
      <c r="E43" s="3"/>
      <c r="F43" s="3"/>
      <c r="G43" s="3"/>
    </row>
    <row r="44" ht="15.75" customHeight="1">
      <c r="D44" s="3"/>
      <c r="E44" s="3"/>
      <c r="F44" s="3"/>
      <c r="G44" s="3"/>
    </row>
    <row r="45" ht="15.75" customHeight="1">
      <c r="A45" s="3"/>
      <c r="B45" s="3"/>
      <c r="C45" s="3"/>
      <c r="D45" s="3"/>
      <c r="E45" s="3"/>
      <c r="F45" s="3"/>
      <c r="G45" s="3"/>
    </row>
    <row r="46" ht="15.75" customHeight="1">
      <c r="A46" s="3"/>
      <c r="B46" s="3"/>
      <c r="C46" s="3"/>
      <c r="D46" s="3"/>
      <c r="E46" s="3"/>
      <c r="F46" s="3"/>
      <c r="G46" s="3"/>
    </row>
    <row r="47" ht="15.75" customHeight="1">
      <c r="A47" s="3"/>
      <c r="B47" s="3"/>
      <c r="C47" s="3"/>
      <c r="D47" s="3"/>
      <c r="E47" s="3"/>
      <c r="F47" s="3"/>
      <c r="G47" s="3"/>
    </row>
    <row r="48" ht="15.75" customHeight="1">
      <c r="A48" s="3"/>
      <c r="B48" s="3"/>
      <c r="C48" s="3"/>
      <c r="D48" s="3"/>
      <c r="E48" s="3"/>
      <c r="F48" s="3"/>
      <c r="G48" s="3"/>
    </row>
    <row r="49" ht="15.75" customHeight="1">
      <c r="A49" s="3"/>
      <c r="B49" s="3"/>
      <c r="C49" s="3"/>
      <c r="D49" s="3"/>
      <c r="E49" s="3"/>
      <c r="F49" s="3"/>
      <c r="G49" s="3"/>
    </row>
    <row r="50" ht="15.75" customHeight="1">
      <c r="A50" s="3"/>
      <c r="B50" s="3"/>
      <c r="C50" s="3"/>
      <c r="D50" s="3"/>
      <c r="E50" s="3"/>
      <c r="F50" s="3"/>
      <c r="G50" s="3"/>
    </row>
    <row r="51" ht="15.75" customHeight="1">
      <c r="A51" s="3"/>
      <c r="B51" s="3"/>
      <c r="C51" s="3"/>
      <c r="D51" s="3"/>
      <c r="E51" s="3"/>
      <c r="F51" s="3"/>
      <c r="G51" s="3"/>
    </row>
    <row r="52" ht="15.75" customHeight="1">
      <c r="A52" s="3"/>
      <c r="B52" s="3"/>
      <c r="C52" s="3"/>
      <c r="D52" s="3"/>
      <c r="E52" s="3"/>
      <c r="F52" s="3"/>
      <c r="G52" s="3"/>
    </row>
    <row r="53" ht="15.75" customHeight="1">
      <c r="A53" s="3"/>
      <c r="B53" s="3"/>
      <c r="C53" s="3"/>
      <c r="D53" s="3"/>
      <c r="E53" s="3"/>
      <c r="F53" s="3"/>
      <c r="G53" s="3"/>
    </row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</sheetData>
  <mergeCells count="4">
    <mergeCell ref="A2:A9"/>
    <mergeCell ref="A10:A22"/>
    <mergeCell ref="A23:A30"/>
    <mergeCell ref="A31:A3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5.38"/>
    <col customWidth="1" min="2" max="2" width="13.25"/>
    <col customWidth="1" min="3" max="3" width="11.75"/>
    <col customWidth="1" min="4" max="4" width="12.75"/>
    <col customWidth="1" min="5" max="5" width="11.38"/>
  </cols>
  <sheetData>
    <row r="1">
      <c r="A1" s="18" t="s">
        <v>48</v>
      </c>
      <c r="B1" s="18" t="s">
        <v>49</v>
      </c>
      <c r="C1" s="18" t="s">
        <v>0</v>
      </c>
      <c r="D1" s="18" t="s">
        <v>50</v>
      </c>
      <c r="E1" s="18" t="s">
        <v>51</v>
      </c>
      <c r="F1" s="18" t="s">
        <v>52</v>
      </c>
    </row>
    <row r="2">
      <c r="A2" s="19" t="s">
        <v>53</v>
      </c>
      <c r="B2" s="19" t="s">
        <v>54</v>
      </c>
      <c r="C2" s="19" t="s">
        <v>55</v>
      </c>
      <c r="D2" s="20">
        <f>500000/950</f>
        <v>526.3157895</v>
      </c>
      <c r="E2" s="21">
        <v>0.5</v>
      </c>
      <c r="F2" s="22">
        <f t="shared" ref="F2:F7" si="1">D2*(1+E2)</f>
        <v>789.4736842</v>
      </c>
    </row>
    <row r="3">
      <c r="A3" s="19" t="s">
        <v>56</v>
      </c>
      <c r="B3" s="19" t="s">
        <v>57</v>
      </c>
      <c r="C3" s="19" t="s">
        <v>58</v>
      </c>
      <c r="D3" s="20">
        <f>354856/950</f>
        <v>373.5326316</v>
      </c>
      <c r="E3" s="21">
        <v>0.5</v>
      </c>
      <c r="F3" s="22">
        <f t="shared" si="1"/>
        <v>560.2989474</v>
      </c>
    </row>
    <row r="4">
      <c r="A4" s="19" t="s">
        <v>59</v>
      </c>
      <c r="B4" s="19" t="s">
        <v>60</v>
      </c>
      <c r="C4" s="19" t="s">
        <v>61</v>
      </c>
      <c r="D4" s="20">
        <f>311645/950</f>
        <v>328.0473684</v>
      </c>
      <c r="E4" s="21">
        <v>0.5</v>
      </c>
      <c r="F4" s="22">
        <f t="shared" si="1"/>
        <v>492.0710526</v>
      </c>
    </row>
    <row r="5">
      <c r="A5" s="19" t="s">
        <v>62</v>
      </c>
      <c r="B5" s="19" t="s">
        <v>63</v>
      </c>
      <c r="C5" s="19" t="s">
        <v>64</v>
      </c>
      <c r="D5" s="20">
        <f>256758/950</f>
        <v>270.2715789</v>
      </c>
      <c r="E5" s="21">
        <v>0.5</v>
      </c>
      <c r="F5" s="22">
        <f t="shared" si="1"/>
        <v>405.4073684</v>
      </c>
    </row>
    <row r="6">
      <c r="A6" s="19" t="s">
        <v>65</v>
      </c>
      <c r="B6" s="19" t="s">
        <v>66</v>
      </c>
      <c r="C6" s="19" t="s">
        <v>67</v>
      </c>
      <c r="D6" s="20">
        <f t="shared" ref="D6:D7" si="2">296742/950</f>
        <v>312.36</v>
      </c>
      <c r="E6" s="21">
        <v>0.5</v>
      </c>
      <c r="F6" s="22">
        <f t="shared" si="1"/>
        <v>468.54</v>
      </c>
    </row>
    <row r="7">
      <c r="A7" s="19" t="s">
        <v>68</v>
      </c>
      <c r="B7" s="19" t="s">
        <v>69</v>
      </c>
      <c r="C7" s="19" t="s">
        <v>67</v>
      </c>
      <c r="D7" s="20">
        <f t="shared" si="2"/>
        <v>312.36</v>
      </c>
      <c r="E7" s="21">
        <v>0.5</v>
      </c>
      <c r="F7" s="22">
        <f t="shared" si="1"/>
        <v>468.54</v>
      </c>
    </row>
    <row r="9">
      <c r="E9" s="23" t="s">
        <v>70</v>
      </c>
      <c r="F9" s="24">
        <f>SUM(F2:F7)</f>
        <v>3184.331053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5.88"/>
    <col customWidth="1" min="3" max="3" width="15.75"/>
    <col customWidth="1" min="4" max="4" width="10.25"/>
    <col customWidth="1" min="5" max="5" width="14.63"/>
  </cols>
  <sheetData>
    <row r="1">
      <c r="A1" s="18" t="s">
        <v>71</v>
      </c>
      <c r="B1" s="18" t="s">
        <v>72</v>
      </c>
      <c r="C1" s="18" t="s">
        <v>73</v>
      </c>
      <c r="D1" s="18" t="s">
        <v>74</v>
      </c>
      <c r="E1" s="18" t="s">
        <v>75</v>
      </c>
    </row>
    <row r="2">
      <c r="A2" s="25" t="s">
        <v>76</v>
      </c>
      <c r="B2" s="26">
        <v>1569.0</v>
      </c>
      <c r="C2" s="27">
        <f t="shared" ref="C2:C23" si="1">B2/950</f>
        <v>1.651578947</v>
      </c>
      <c r="D2" s="28">
        <v>1.5</v>
      </c>
      <c r="E2" s="29">
        <f t="shared" ref="E2:E23" si="2">C2*D2</f>
        <v>2.477368421</v>
      </c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</row>
    <row r="3">
      <c r="A3" s="25" t="s">
        <v>77</v>
      </c>
      <c r="B3" s="26">
        <v>1080.0</v>
      </c>
      <c r="C3" s="27">
        <f t="shared" si="1"/>
        <v>1.136842105</v>
      </c>
      <c r="D3" s="28">
        <v>2.0</v>
      </c>
      <c r="E3" s="29">
        <f t="shared" si="2"/>
        <v>2.273684211</v>
      </c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</row>
    <row r="4">
      <c r="A4" s="25" t="s">
        <v>78</v>
      </c>
      <c r="B4" s="26">
        <v>11.8</v>
      </c>
      <c r="C4" s="27">
        <f t="shared" si="1"/>
        <v>0.01242105263</v>
      </c>
      <c r="D4" s="28">
        <v>100.0</v>
      </c>
      <c r="E4" s="29">
        <f t="shared" si="2"/>
        <v>1.242105263</v>
      </c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</row>
    <row r="5">
      <c r="A5" s="25" t="s">
        <v>79</v>
      </c>
      <c r="B5" s="26">
        <v>75.0</v>
      </c>
      <c r="C5" s="27">
        <f t="shared" si="1"/>
        <v>0.07894736842</v>
      </c>
      <c r="D5" s="28">
        <v>5.0</v>
      </c>
      <c r="E5" s="29">
        <f t="shared" si="2"/>
        <v>0.3947368421</v>
      </c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</row>
    <row r="6">
      <c r="A6" s="25" t="s">
        <v>80</v>
      </c>
      <c r="B6" s="26">
        <v>5500.0</v>
      </c>
      <c r="C6" s="27">
        <f t="shared" si="1"/>
        <v>5.789473684</v>
      </c>
      <c r="D6" s="28">
        <v>1.0</v>
      </c>
      <c r="E6" s="29">
        <f t="shared" si="2"/>
        <v>5.789473684</v>
      </c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>
      <c r="A7" s="25" t="s">
        <v>81</v>
      </c>
      <c r="B7" s="26">
        <v>13500.0</v>
      </c>
      <c r="C7" s="27">
        <f t="shared" si="1"/>
        <v>14.21052632</v>
      </c>
      <c r="D7" s="28">
        <v>0.25</v>
      </c>
      <c r="E7" s="29">
        <f t="shared" si="2"/>
        <v>3.552631579</v>
      </c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</row>
    <row r="8">
      <c r="A8" s="25" t="s">
        <v>82</v>
      </c>
      <c r="B8" s="26">
        <v>1600.0</v>
      </c>
      <c r="C8" s="27">
        <f t="shared" si="1"/>
        <v>1.684210526</v>
      </c>
      <c r="D8" s="28">
        <v>0.75</v>
      </c>
      <c r="E8" s="29">
        <f t="shared" si="2"/>
        <v>1.263157895</v>
      </c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</row>
    <row r="9">
      <c r="A9" s="25" t="s">
        <v>83</v>
      </c>
      <c r="B9" s="26">
        <v>3840.0</v>
      </c>
      <c r="C9" s="27">
        <f t="shared" si="1"/>
        <v>4.042105263</v>
      </c>
      <c r="D9" s="28">
        <v>3.0</v>
      </c>
      <c r="E9" s="29">
        <f t="shared" si="2"/>
        <v>12.12631579</v>
      </c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</row>
    <row r="10">
      <c r="A10" s="25" t="s">
        <v>84</v>
      </c>
      <c r="B10" s="26">
        <v>400.0</v>
      </c>
      <c r="C10" s="27">
        <f t="shared" si="1"/>
        <v>0.4210526316</v>
      </c>
      <c r="D10" s="28">
        <v>10.0</v>
      </c>
      <c r="E10" s="29">
        <f t="shared" si="2"/>
        <v>4.210526316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</row>
    <row r="11">
      <c r="A11" s="25" t="s">
        <v>85</v>
      </c>
      <c r="B11" s="26">
        <v>1700.0</v>
      </c>
      <c r="C11" s="27">
        <f t="shared" si="1"/>
        <v>1.789473684</v>
      </c>
      <c r="D11" s="28">
        <v>3.0</v>
      </c>
      <c r="E11" s="29">
        <f t="shared" si="2"/>
        <v>5.368421053</v>
      </c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</row>
    <row r="12">
      <c r="A12" s="25" t="s">
        <v>86</v>
      </c>
      <c r="B12" s="26">
        <v>35000.0</v>
      </c>
      <c r="C12" s="27">
        <f t="shared" si="1"/>
        <v>36.84210526</v>
      </c>
      <c r="D12" s="28">
        <v>0.1</v>
      </c>
      <c r="E12" s="29">
        <f t="shared" si="2"/>
        <v>3.684210526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</row>
    <row r="13">
      <c r="A13" s="25" t="s">
        <v>87</v>
      </c>
      <c r="B13" s="26">
        <v>3720.0</v>
      </c>
      <c r="C13" s="27">
        <f t="shared" si="1"/>
        <v>3.915789474</v>
      </c>
      <c r="D13" s="28">
        <v>2.0</v>
      </c>
      <c r="E13" s="29">
        <f t="shared" si="2"/>
        <v>7.831578947</v>
      </c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</row>
    <row r="14">
      <c r="A14" s="25" t="s">
        <v>88</v>
      </c>
      <c r="B14" s="26">
        <v>12900.0</v>
      </c>
      <c r="C14" s="27">
        <f t="shared" si="1"/>
        <v>13.57894737</v>
      </c>
      <c r="D14" s="28">
        <v>2.7</v>
      </c>
      <c r="E14" s="29">
        <f t="shared" si="2"/>
        <v>36.66315789</v>
      </c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</row>
    <row r="15">
      <c r="A15" s="25" t="s">
        <v>89</v>
      </c>
      <c r="B15" s="26">
        <v>550.0</v>
      </c>
      <c r="C15" s="27">
        <f t="shared" si="1"/>
        <v>0.5789473684</v>
      </c>
      <c r="D15" s="28">
        <v>0.6</v>
      </c>
      <c r="E15" s="29">
        <f t="shared" si="2"/>
        <v>0.3473684211</v>
      </c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</row>
    <row r="16">
      <c r="A16" s="25" t="s">
        <v>90</v>
      </c>
      <c r="B16" s="26">
        <v>1600.0</v>
      </c>
      <c r="C16" s="27">
        <f t="shared" si="1"/>
        <v>1.684210526</v>
      </c>
      <c r="D16" s="28">
        <v>1.0</v>
      </c>
      <c r="E16" s="29">
        <f t="shared" si="2"/>
        <v>1.684210526</v>
      </c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</row>
    <row r="17">
      <c r="A17" s="25" t="s">
        <v>91</v>
      </c>
      <c r="B17" s="26">
        <v>25.0</v>
      </c>
      <c r="C17" s="27">
        <f t="shared" si="1"/>
        <v>0.02631578947</v>
      </c>
      <c r="D17" s="28">
        <v>25.0</v>
      </c>
      <c r="E17" s="29">
        <f t="shared" si="2"/>
        <v>0.6578947368</v>
      </c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</row>
    <row r="18">
      <c r="A18" s="25" t="s">
        <v>92</v>
      </c>
      <c r="B18" s="26">
        <v>40.0</v>
      </c>
      <c r="C18" s="27">
        <f t="shared" si="1"/>
        <v>0.04210526316</v>
      </c>
      <c r="D18" s="28">
        <v>20.0</v>
      </c>
      <c r="E18" s="29">
        <f t="shared" si="2"/>
        <v>0.8421052632</v>
      </c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</row>
    <row r="19">
      <c r="A19" s="25" t="s">
        <v>93</v>
      </c>
      <c r="B19" s="26">
        <v>7200.0</v>
      </c>
      <c r="C19" s="27">
        <f t="shared" si="1"/>
        <v>7.578947368</v>
      </c>
      <c r="D19" s="28">
        <v>0.25</v>
      </c>
      <c r="E19" s="29">
        <f t="shared" si="2"/>
        <v>1.894736842</v>
      </c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</row>
    <row r="20">
      <c r="A20" s="25" t="s">
        <v>94</v>
      </c>
      <c r="B20" s="26">
        <v>680.0</v>
      </c>
      <c r="C20" s="27">
        <f t="shared" si="1"/>
        <v>0.7157894737</v>
      </c>
      <c r="D20" s="28">
        <v>1.0</v>
      </c>
      <c r="E20" s="29">
        <f t="shared" si="2"/>
        <v>0.7157894737</v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</row>
    <row r="21">
      <c r="A21" s="25" t="s">
        <v>95</v>
      </c>
      <c r="B21" s="26">
        <v>400.0</v>
      </c>
      <c r="C21" s="27">
        <f t="shared" si="1"/>
        <v>0.4210526316</v>
      </c>
      <c r="D21" s="28">
        <v>200.0</v>
      </c>
      <c r="E21" s="29">
        <f t="shared" si="2"/>
        <v>84.21052632</v>
      </c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</row>
    <row r="22">
      <c r="A22" s="25" t="s">
        <v>96</v>
      </c>
      <c r="B22" s="26">
        <v>45000.0</v>
      </c>
      <c r="C22" s="27">
        <f t="shared" si="1"/>
        <v>47.36842105</v>
      </c>
      <c r="D22" s="28">
        <v>1.0</v>
      </c>
      <c r="E22" s="29">
        <f t="shared" si="2"/>
        <v>47.36842105</v>
      </c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</row>
    <row r="23">
      <c r="A23" s="25" t="s">
        <v>97</v>
      </c>
      <c r="B23" s="26">
        <v>25000.0</v>
      </c>
      <c r="C23" s="27">
        <f t="shared" si="1"/>
        <v>26.31578947</v>
      </c>
      <c r="D23" s="28">
        <v>1.0</v>
      </c>
      <c r="E23" s="29">
        <f t="shared" si="2"/>
        <v>26.31578947</v>
      </c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</row>
    <row r="25">
      <c r="D25" s="31" t="s">
        <v>98</v>
      </c>
      <c r="E25" s="32">
        <f>1.3*SUM(E2:E23)</f>
        <v>326.1884737</v>
      </c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4.25"/>
    <col customWidth="1" min="3" max="3" width="11.38"/>
  </cols>
  <sheetData>
    <row r="1">
      <c r="A1" s="18" t="s">
        <v>99</v>
      </c>
      <c r="B1" s="18" t="s">
        <v>100</v>
      </c>
      <c r="C1" s="18" t="s">
        <v>101</v>
      </c>
      <c r="D1" s="18" t="s">
        <v>102</v>
      </c>
      <c r="E1" s="18" t="s">
        <v>103</v>
      </c>
      <c r="F1" s="18" t="s">
        <v>104</v>
      </c>
      <c r="H1" s="18" t="s">
        <v>99</v>
      </c>
      <c r="I1" s="18" t="s">
        <v>100</v>
      </c>
      <c r="J1" s="18" t="s">
        <v>105</v>
      </c>
      <c r="K1" s="18" t="s">
        <v>102</v>
      </c>
      <c r="L1" s="18" t="s">
        <v>103</v>
      </c>
      <c r="M1" s="18" t="s">
        <v>104</v>
      </c>
    </row>
    <row r="2">
      <c r="A2" s="25" t="s">
        <v>106</v>
      </c>
      <c r="B2" s="25">
        <v>1.5</v>
      </c>
      <c r="C2" s="25">
        <f>126/60</f>
        <v>2.1</v>
      </c>
      <c r="D2" s="26">
        <v>19.0</v>
      </c>
      <c r="E2" s="33">
        <f t="shared" ref="E2:E10" si="1">B2*C2</f>
        <v>3.15</v>
      </c>
      <c r="F2" s="26">
        <f t="shared" ref="F2:F10" si="2">D2*E2</f>
        <v>59.85</v>
      </c>
      <c r="H2" s="25" t="s">
        <v>107</v>
      </c>
      <c r="I2" s="25">
        <v>0.26</v>
      </c>
      <c r="J2" s="25">
        <f>8*22</f>
        <v>176</v>
      </c>
      <c r="K2" s="26">
        <v>19.0</v>
      </c>
      <c r="L2" s="33">
        <f t="shared" ref="L2:L5" si="3">I2*J2</f>
        <v>45.76</v>
      </c>
      <c r="M2" s="26">
        <f t="shared" ref="M2:M5" si="4">K2*L2</f>
        <v>869.44</v>
      </c>
    </row>
    <row r="3">
      <c r="A3" s="25" t="s">
        <v>108</v>
      </c>
      <c r="B3" s="25">
        <v>1.9</v>
      </c>
      <c r="C3" s="25">
        <f t="shared" ref="C3:C4" si="5">180/60</f>
        <v>3</v>
      </c>
      <c r="D3" s="26">
        <v>19.0</v>
      </c>
      <c r="E3" s="33">
        <f t="shared" si="1"/>
        <v>5.7</v>
      </c>
      <c r="F3" s="26">
        <f t="shared" si="2"/>
        <v>108.3</v>
      </c>
      <c r="H3" s="25" t="s">
        <v>109</v>
      </c>
      <c r="I3" s="25">
        <v>7.44</v>
      </c>
      <c r="J3" s="25">
        <f t="shared" ref="J3:J4" si="6">4*22</f>
        <v>88</v>
      </c>
      <c r="K3" s="26">
        <v>19.0</v>
      </c>
      <c r="L3" s="33">
        <f t="shared" si="3"/>
        <v>654.72</v>
      </c>
      <c r="M3" s="26">
        <f t="shared" si="4"/>
        <v>12439.68</v>
      </c>
    </row>
    <row r="4">
      <c r="A4" s="25" t="s">
        <v>110</v>
      </c>
      <c r="B4" s="25">
        <v>0.13</v>
      </c>
      <c r="C4" s="25">
        <f t="shared" si="5"/>
        <v>3</v>
      </c>
      <c r="D4" s="26">
        <v>19.0</v>
      </c>
      <c r="E4" s="33">
        <f t="shared" si="1"/>
        <v>0.39</v>
      </c>
      <c r="F4" s="26">
        <f t="shared" si="2"/>
        <v>7.41</v>
      </c>
      <c r="H4" s="25" t="s">
        <v>111</v>
      </c>
      <c r="I4" s="25">
        <v>0.43</v>
      </c>
      <c r="J4" s="25">
        <f t="shared" si="6"/>
        <v>88</v>
      </c>
      <c r="K4" s="26">
        <v>19.0</v>
      </c>
      <c r="L4" s="33">
        <f t="shared" si="3"/>
        <v>37.84</v>
      </c>
      <c r="M4" s="26">
        <f t="shared" si="4"/>
        <v>718.96</v>
      </c>
    </row>
    <row r="5">
      <c r="A5" s="25" t="s">
        <v>4</v>
      </c>
      <c r="B5" s="25">
        <v>16.0</v>
      </c>
      <c r="C5" s="25">
        <f>120/60</f>
        <v>2</v>
      </c>
      <c r="D5" s="26">
        <v>19.0</v>
      </c>
      <c r="E5" s="33">
        <f t="shared" si="1"/>
        <v>32</v>
      </c>
      <c r="F5" s="26">
        <f t="shared" si="2"/>
        <v>608</v>
      </c>
      <c r="H5" s="25" t="s">
        <v>112</v>
      </c>
      <c r="I5" s="25">
        <v>0.75</v>
      </c>
      <c r="J5" s="25">
        <f>30*24</f>
        <v>720</v>
      </c>
      <c r="K5" s="26">
        <v>19.0</v>
      </c>
      <c r="L5" s="33">
        <f t="shared" si="3"/>
        <v>540</v>
      </c>
      <c r="M5" s="26">
        <f t="shared" si="4"/>
        <v>10260</v>
      </c>
    </row>
    <row r="6">
      <c r="A6" s="25" t="s">
        <v>113</v>
      </c>
      <c r="B6" s="25">
        <v>2.2</v>
      </c>
      <c r="C6" s="33">
        <f>60/60</f>
        <v>1</v>
      </c>
      <c r="D6" s="26">
        <v>19.0</v>
      </c>
      <c r="E6" s="33">
        <f t="shared" si="1"/>
        <v>2.2</v>
      </c>
      <c r="F6" s="26">
        <f t="shared" si="2"/>
        <v>41.8</v>
      </c>
    </row>
    <row r="7">
      <c r="A7" s="25" t="s">
        <v>5</v>
      </c>
      <c r="B7" s="25">
        <v>0.55</v>
      </c>
      <c r="C7" s="25">
        <f>180/60</f>
        <v>3</v>
      </c>
      <c r="D7" s="26">
        <v>19.0</v>
      </c>
      <c r="E7" s="33">
        <f t="shared" si="1"/>
        <v>1.65</v>
      </c>
      <c r="F7" s="26">
        <f t="shared" si="2"/>
        <v>31.35</v>
      </c>
    </row>
    <row r="8">
      <c r="A8" s="25" t="s">
        <v>114</v>
      </c>
      <c r="B8" s="25">
        <v>1.5</v>
      </c>
      <c r="C8" s="25">
        <f>60/60</f>
        <v>1</v>
      </c>
      <c r="D8" s="26">
        <v>19.0</v>
      </c>
      <c r="E8" s="33">
        <f t="shared" si="1"/>
        <v>1.5</v>
      </c>
      <c r="F8" s="26">
        <f t="shared" si="2"/>
        <v>28.5</v>
      </c>
    </row>
    <row r="9">
      <c r="A9" s="25" t="s">
        <v>115</v>
      </c>
      <c r="B9" s="25">
        <v>2.5</v>
      </c>
      <c r="C9" s="25">
        <f t="shared" ref="C9:C10" si="7">180/60</f>
        <v>3</v>
      </c>
      <c r="D9" s="26">
        <v>19.0</v>
      </c>
      <c r="E9" s="33">
        <f t="shared" si="1"/>
        <v>7.5</v>
      </c>
      <c r="F9" s="26">
        <f t="shared" si="2"/>
        <v>142.5</v>
      </c>
    </row>
    <row r="10">
      <c r="A10" s="25" t="s">
        <v>116</v>
      </c>
      <c r="B10" s="25">
        <v>1.0</v>
      </c>
      <c r="C10" s="25">
        <f t="shared" si="7"/>
        <v>3</v>
      </c>
      <c r="D10" s="26">
        <v>19.0</v>
      </c>
      <c r="E10" s="33">
        <f t="shared" si="1"/>
        <v>3</v>
      </c>
      <c r="F10" s="26">
        <f t="shared" si="2"/>
        <v>57</v>
      </c>
    </row>
    <row r="13">
      <c r="E13" s="31" t="s">
        <v>117</v>
      </c>
      <c r="F13" s="32">
        <f>(2*(SUM(F2:F10)))/950</f>
        <v>2.2836</v>
      </c>
    </row>
    <row r="14">
      <c r="E14" s="31" t="s">
        <v>118</v>
      </c>
      <c r="F14" s="32">
        <f>(4500+2*(SUM(M2:M5)))/950</f>
        <v>55.86964211</v>
      </c>
    </row>
    <row r="17">
      <c r="E17" s="34"/>
      <c r="F17" s="35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sheetData>
    <row r="1">
      <c r="A1" s="36" t="s">
        <v>119</v>
      </c>
      <c r="B1" s="36">
        <v>295.0</v>
      </c>
    </row>
    <row r="2">
      <c r="A2" s="36" t="s">
        <v>120</v>
      </c>
      <c r="B2" s="36">
        <v>150.0</v>
      </c>
    </row>
    <row r="3">
      <c r="A3" s="36" t="s">
        <v>121</v>
      </c>
      <c r="B3" s="36">
        <v>250.0</v>
      </c>
    </row>
    <row r="4">
      <c r="A4" s="36" t="s">
        <v>122</v>
      </c>
      <c r="B4" s="36">
        <v>1810.0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8.5"/>
    <col customWidth="1" min="8" max="8" width="20.13"/>
  </cols>
  <sheetData>
    <row r="1">
      <c r="A1" s="37" t="s">
        <v>123</v>
      </c>
      <c r="C1" s="38"/>
      <c r="D1" s="37" t="s">
        <v>124</v>
      </c>
      <c r="G1" s="38"/>
      <c r="H1" s="38"/>
      <c r="I1" s="39" t="s">
        <v>125</v>
      </c>
      <c r="J1" s="38"/>
      <c r="K1" s="38"/>
      <c r="L1" s="38"/>
    </row>
    <row r="2">
      <c r="A2" s="39" t="s">
        <v>126</v>
      </c>
      <c r="B2" s="39" t="s">
        <v>127</v>
      </c>
      <c r="C2" s="38"/>
      <c r="D2" s="39" t="s">
        <v>128</v>
      </c>
      <c r="E2" s="39" t="s">
        <v>129</v>
      </c>
      <c r="F2" s="39" t="s">
        <v>130</v>
      </c>
      <c r="G2" s="38"/>
      <c r="H2" s="39" t="s">
        <v>131</v>
      </c>
      <c r="I2" s="40">
        <f>Insumos!E25+'Consumo eléctrico'!F13+'Otros costos'!B4</f>
        <v>2138.472074</v>
      </c>
      <c r="J2" s="38"/>
      <c r="K2" s="39" t="s">
        <v>132</v>
      </c>
      <c r="L2" s="41"/>
    </row>
    <row r="3">
      <c r="A3" s="41">
        <v>1.0</v>
      </c>
      <c r="B3" s="40">
        <v>4000.0</v>
      </c>
      <c r="C3" s="38"/>
      <c r="D3" s="41">
        <v>1.0</v>
      </c>
      <c r="E3" s="41">
        <v>50.0</v>
      </c>
      <c r="F3" s="41">
        <f>E3/10</f>
        <v>5</v>
      </c>
      <c r="G3" s="38"/>
      <c r="H3" s="39" t="s">
        <v>133</v>
      </c>
      <c r="I3" s="40">
        <f>'Mano de obra'!F9+'Consumo eléctrico'!F14+'Otros costos'!B1+'Otros costos'!B2+'Otros costos'!B3</f>
        <v>3935.200695</v>
      </c>
      <c r="J3" s="38"/>
      <c r="K3" s="42">
        <v>18045.0</v>
      </c>
      <c r="L3" s="38"/>
    </row>
    <row r="4">
      <c r="A4" s="41">
        <v>2.0</v>
      </c>
      <c r="B4" s="40">
        <v>4000.0</v>
      </c>
      <c r="C4" s="38"/>
      <c r="D4" s="41">
        <v>2.0</v>
      </c>
      <c r="E4" s="41">
        <v>60.0</v>
      </c>
      <c r="F4" s="43">
        <f t="shared" ref="F4:F7" si="1">E4/12</f>
        <v>5</v>
      </c>
      <c r="G4" s="38"/>
      <c r="H4" s="38"/>
      <c r="I4" s="38"/>
      <c r="J4" s="38"/>
      <c r="K4" s="38"/>
      <c r="L4" s="38"/>
    </row>
    <row r="5">
      <c r="A5" s="41">
        <v>3.0</v>
      </c>
      <c r="B5" s="40">
        <v>4500.0</v>
      </c>
      <c r="C5" s="38"/>
      <c r="D5" s="41">
        <v>3.0</v>
      </c>
      <c r="E5" s="41">
        <v>70.0</v>
      </c>
      <c r="F5" s="43">
        <f t="shared" si="1"/>
        <v>5.833333333</v>
      </c>
      <c r="G5" s="38"/>
      <c r="H5" s="39" t="s">
        <v>134</v>
      </c>
      <c r="I5" s="41" t="s">
        <v>135</v>
      </c>
      <c r="J5" s="38"/>
      <c r="K5" s="38"/>
      <c r="L5" s="38"/>
    </row>
    <row r="6">
      <c r="A6" s="41">
        <v>4.0</v>
      </c>
      <c r="B6" s="40">
        <v>4500.0</v>
      </c>
      <c r="C6" s="38"/>
      <c r="D6" s="41">
        <v>4.0</v>
      </c>
      <c r="E6" s="41">
        <v>85.0</v>
      </c>
      <c r="F6" s="43">
        <f t="shared" si="1"/>
        <v>7.083333333</v>
      </c>
      <c r="G6" s="38"/>
      <c r="H6" s="39" t="s">
        <v>136</v>
      </c>
      <c r="I6" s="41" t="s">
        <v>137</v>
      </c>
      <c r="J6" s="38"/>
      <c r="K6" s="38"/>
      <c r="L6" s="38"/>
    </row>
    <row r="7">
      <c r="A7" s="41" t="s">
        <v>138</v>
      </c>
      <c r="B7" s="40">
        <v>5000.0</v>
      </c>
      <c r="C7" s="38"/>
      <c r="D7" s="41">
        <v>5.0</v>
      </c>
      <c r="E7" s="41">
        <v>100.0</v>
      </c>
      <c r="F7" s="43">
        <f t="shared" si="1"/>
        <v>8.333333333</v>
      </c>
      <c r="G7" s="38"/>
      <c r="H7" s="39" t="s">
        <v>139</v>
      </c>
      <c r="I7" s="41" t="s">
        <v>140</v>
      </c>
      <c r="J7" s="38"/>
      <c r="K7" s="38"/>
      <c r="L7" s="38"/>
    </row>
    <row r="8">
      <c r="A8" s="38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</row>
    <row r="9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>
      <c r="A12" s="44" t="s">
        <v>141</v>
      </c>
      <c r="B12" s="44" t="s">
        <v>142</v>
      </c>
      <c r="C12" s="44" t="s">
        <v>143</v>
      </c>
      <c r="D12" s="44" t="s">
        <v>144</v>
      </c>
      <c r="E12" s="44"/>
      <c r="G12" s="44"/>
      <c r="H12" s="38"/>
      <c r="I12" s="38"/>
      <c r="J12" s="38"/>
      <c r="K12" s="38"/>
      <c r="L12" s="38"/>
    </row>
    <row r="13">
      <c r="A13" s="39" t="s">
        <v>3</v>
      </c>
      <c r="B13" s="45">
        <f>'Inversión inicial'!F3</f>
        <v>26435</v>
      </c>
      <c r="C13" s="39">
        <v>10.0</v>
      </c>
      <c r="D13" s="46">
        <f t="shared" ref="D13:D15" si="2">B13/C13</f>
        <v>2643.5</v>
      </c>
      <c r="E13" s="47"/>
      <c r="G13" s="38"/>
      <c r="H13" s="38"/>
      <c r="I13" s="38"/>
      <c r="J13" s="38"/>
      <c r="K13" s="38"/>
      <c r="L13" s="38"/>
    </row>
    <row r="14">
      <c r="A14" s="39" t="s">
        <v>13</v>
      </c>
      <c r="B14" s="48">
        <f>'Inversión inicial'!F11</f>
        <v>24946</v>
      </c>
      <c r="C14" s="39">
        <v>10.0</v>
      </c>
      <c r="D14" s="46">
        <f t="shared" si="2"/>
        <v>2494.6</v>
      </c>
      <c r="E14" s="47"/>
      <c r="G14" s="38"/>
      <c r="H14" s="38"/>
      <c r="I14" s="38"/>
      <c r="J14" s="38"/>
      <c r="K14" s="38"/>
      <c r="L14" s="38"/>
    </row>
    <row r="15">
      <c r="A15" s="39" t="s">
        <v>145</v>
      </c>
      <c r="B15" s="49">
        <f>'Inversión inicial'!C37</f>
        <v>30600</v>
      </c>
      <c r="C15" s="39">
        <v>10.0</v>
      </c>
      <c r="D15" s="46">
        <f t="shared" si="2"/>
        <v>3060</v>
      </c>
      <c r="E15" s="47"/>
      <c r="G15" s="38"/>
      <c r="H15" s="38"/>
      <c r="I15" s="38"/>
      <c r="J15" s="38"/>
      <c r="K15" s="38"/>
      <c r="L15" s="38"/>
    </row>
    <row r="16">
      <c r="A16" s="39" t="s">
        <v>146</v>
      </c>
      <c r="B16" s="48">
        <f>'Inversión inicial'!F24</f>
        <v>8709.4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>
      <c r="A17" s="39" t="s">
        <v>147</v>
      </c>
      <c r="B17" s="48">
        <f>'Inversión inicial'!F32</f>
        <v>590</v>
      </c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>
      <c r="A18" s="39" t="s">
        <v>148</v>
      </c>
      <c r="B18" s="48">
        <f>'Inversión inicial'!F33</f>
        <v>9102.06</v>
      </c>
      <c r="C18" s="38"/>
      <c r="D18" s="38"/>
      <c r="E18" s="38"/>
      <c r="F18" s="38"/>
      <c r="G18" s="38"/>
      <c r="H18" s="38"/>
      <c r="I18" s="38"/>
      <c r="J18" s="38"/>
      <c r="K18" s="38"/>
      <c r="L18" s="38"/>
    </row>
  </sheetData>
  <mergeCells count="2">
    <mergeCell ref="A1:B1"/>
    <mergeCell ref="D1:F1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0"/>
  <cols>
    <col customWidth="1" min="1" max="1" width="15.0"/>
    <col customWidth="1" min="2" max="2" width="10.88"/>
    <col customWidth="1" min="3" max="3" width="7.13"/>
    <col hidden="1" min="4" max="4" width="12.63"/>
    <col customWidth="1" min="5" max="5" width="6.75"/>
    <col customWidth="1" min="6" max="6" width="9.5"/>
    <col hidden="1" min="7" max="8" width="12.63"/>
    <col customWidth="1" min="9" max="9" width="6.38"/>
    <col customWidth="1" min="10" max="10" width="7.38"/>
    <col customWidth="1" min="11" max="11" width="7.25"/>
    <col customWidth="1" hidden="1" min="12" max="12" width="7.63"/>
    <col customWidth="1" min="13" max="13" width="6.88"/>
    <col hidden="1" min="14" max="14" width="12.63"/>
    <col customWidth="1" hidden="1" min="15" max="15" width="11.13"/>
    <col customWidth="1" min="16" max="16" width="6.13"/>
    <col customWidth="1" min="17" max="17" width="7.5"/>
    <col customWidth="1" min="18" max="18" width="6.75"/>
    <col customWidth="1" min="19" max="19" width="8.0"/>
    <col customWidth="1" min="20" max="20" width="7.25"/>
    <col customWidth="1" min="21" max="21" width="7.75"/>
  </cols>
  <sheetData>
    <row r="1" ht="18.75" customHeight="1">
      <c r="A1" s="50" t="s">
        <v>149</v>
      </c>
      <c r="C1" s="36"/>
      <c r="D1" s="36"/>
      <c r="E1" s="36"/>
      <c r="F1" s="51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>
      <c r="A2" s="36" t="s">
        <v>150</v>
      </c>
      <c r="B2" s="52">
        <f>'Inversión inicial'!C35+'Inversión inicial'!C36</f>
        <v>88345.22176</v>
      </c>
      <c r="F2" s="52"/>
    </row>
    <row r="3">
      <c r="A3" s="36" t="s">
        <v>151</v>
      </c>
      <c r="B3" s="36">
        <v>48.0</v>
      </c>
      <c r="F3" s="52"/>
    </row>
    <row r="4">
      <c r="A4" s="36" t="s">
        <v>152</v>
      </c>
      <c r="B4" s="53">
        <v>0.0104</v>
      </c>
      <c r="F4" s="52"/>
    </row>
    <row r="5">
      <c r="A5" s="36" t="s">
        <v>136</v>
      </c>
      <c r="B5" s="53">
        <v>0.21</v>
      </c>
      <c r="F5" s="52"/>
    </row>
    <row r="6">
      <c r="A6" s="36" t="s">
        <v>153</v>
      </c>
      <c r="B6" s="54">
        <f>0.025+0.012</f>
        <v>0.037</v>
      </c>
      <c r="F6" s="52"/>
    </row>
    <row r="7">
      <c r="A7" s="36" t="s">
        <v>154</v>
      </c>
      <c r="B7" s="53">
        <v>0.35</v>
      </c>
      <c r="F7" s="52"/>
    </row>
    <row r="8">
      <c r="F8" s="52"/>
    </row>
    <row r="9">
      <c r="A9" s="50" t="s">
        <v>155</v>
      </c>
      <c r="F9" s="52"/>
    </row>
    <row r="10">
      <c r="A10" s="36" t="s">
        <v>156</v>
      </c>
      <c r="B10" s="53">
        <v>0.175</v>
      </c>
      <c r="F10" s="52"/>
    </row>
    <row r="11">
      <c r="A11" s="36" t="s">
        <v>157</v>
      </c>
      <c r="B11" s="55">
        <f>B10/(1+B10)</f>
        <v>0.1489361702</v>
      </c>
      <c r="F11" s="52"/>
    </row>
    <row r="12">
      <c r="A12" s="36" t="s">
        <v>158</v>
      </c>
      <c r="B12" s="56">
        <f t="array" ref="B12">NPV(B11,U18:U77)-U17</f>
        <v>258961.8075</v>
      </c>
      <c r="F12" s="52"/>
    </row>
    <row r="13">
      <c r="A13" s="36" t="s">
        <v>159</v>
      </c>
      <c r="B13" s="55">
        <f>IRR(U17:U77)</f>
        <v>0.3868021383</v>
      </c>
      <c r="F13" s="52"/>
    </row>
    <row r="14">
      <c r="F14" s="52"/>
    </row>
    <row r="15">
      <c r="A15" s="57" t="s">
        <v>160</v>
      </c>
      <c r="B15" s="58"/>
      <c r="C15" s="59" t="s">
        <v>161</v>
      </c>
      <c r="D15" s="60"/>
      <c r="E15" s="61" t="s">
        <v>162</v>
      </c>
      <c r="F15" s="58"/>
      <c r="G15" s="60"/>
      <c r="H15" s="60"/>
      <c r="I15" s="62" t="s">
        <v>163</v>
      </c>
      <c r="J15" s="58"/>
      <c r="K15" s="63" t="s">
        <v>164</v>
      </c>
      <c r="L15" s="60"/>
      <c r="M15" s="61" t="s">
        <v>165</v>
      </c>
      <c r="N15" s="64"/>
      <c r="O15" s="64"/>
      <c r="P15" s="58"/>
      <c r="Q15" s="65" t="s">
        <v>166</v>
      </c>
      <c r="R15" s="66" t="s">
        <v>167</v>
      </c>
      <c r="S15" s="67" t="s">
        <v>168</v>
      </c>
      <c r="T15" s="67" t="s">
        <v>169</v>
      </c>
      <c r="U15" s="67" t="s">
        <v>170</v>
      </c>
      <c r="W15" s="68">
        <v>0.15</v>
      </c>
      <c r="X15" s="69" t="s">
        <v>171</v>
      </c>
      <c r="Y15" s="69" t="s">
        <v>172</v>
      </c>
    </row>
    <row r="16">
      <c r="A16" s="70" t="s">
        <v>128</v>
      </c>
      <c r="B16" s="70" t="s">
        <v>171</v>
      </c>
      <c r="C16" s="10"/>
      <c r="D16" s="71" t="s">
        <v>173</v>
      </c>
      <c r="E16" s="72" t="s">
        <v>174</v>
      </c>
      <c r="F16" s="73" t="s">
        <v>175</v>
      </c>
      <c r="G16" s="71" t="s">
        <v>176</v>
      </c>
      <c r="H16" s="71" t="s">
        <v>177</v>
      </c>
      <c r="I16" s="74" t="s">
        <v>178</v>
      </c>
      <c r="J16" s="74" t="s">
        <v>179</v>
      </c>
      <c r="K16" s="10"/>
      <c r="L16" s="71" t="s">
        <v>180</v>
      </c>
      <c r="M16" s="72" t="s">
        <v>181</v>
      </c>
      <c r="N16" s="72" t="s">
        <v>182</v>
      </c>
      <c r="O16" s="72" t="s">
        <v>183</v>
      </c>
      <c r="P16" s="72" t="s">
        <v>184</v>
      </c>
      <c r="Q16" s="10"/>
      <c r="R16" s="10"/>
      <c r="S16" s="10"/>
      <c r="T16" s="10"/>
      <c r="U16" s="10"/>
      <c r="X16" s="75">
        <v>0.0</v>
      </c>
      <c r="Y16" s="76">
        <f>T17</f>
        <v>-88345.22176</v>
      </c>
    </row>
    <row r="17">
      <c r="A17" s="77">
        <v>0.0</v>
      </c>
      <c r="B17" s="78">
        <v>0.0</v>
      </c>
      <c r="C17" s="78">
        <v>0.0</v>
      </c>
      <c r="D17" s="79">
        <f>B2</f>
        <v>88345.22176</v>
      </c>
      <c r="E17" s="80">
        <f t="shared" ref="E17:E71" si="1">D17*$B$4</f>
        <v>918.7903063</v>
      </c>
      <c r="F17" s="80"/>
      <c r="G17" s="81"/>
      <c r="H17" s="80">
        <f t="shared" ref="H17:H23" si="2">D17+E17</f>
        <v>89264.01206</v>
      </c>
      <c r="I17" s="81"/>
      <c r="J17" s="81"/>
      <c r="K17" s="81"/>
      <c r="L17" s="82"/>
      <c r="M17" s="81">
        <f t="shared" ref="M17:M137" si="3">C17*$B$6</f>
        <v>0</v>
      </c>
      <c r="N17" s="81">
        <f t="shared" ref="N17:N137" si="4">C17*$B$5</f>
        <v>0</v>
      </c>
      <c r="O17" s="79">
        <f>B5*(B2-'Inversión inicial'!C36)</f>
        <v>14654.3166</v>
      </c>
      <c r="P17" s="83">
        <v>0.0</v>
      </c>
      <c r="Q17" s="82">
        <f>C17-G17-I17-J17-M17-P17</f>
        <v>0</v>
      </c>
      <c r="R17" s="83">
        <v>0.0</v>
      </c>
      <c r="S17" s="78">
        <v>0.0</v>
      </c>
      <c r="T17" s="79">
        <f>-D17</f>
        <v>-88345.22176</v>
      </c>
      <c r="U17" s="79">
        <f>T17</f>
        <v>-88345.22176</v>
      </c>
      <c r="X17" s="75">
        <v>1.0</v>
      </c>
      <c r="Y17" s="84">
        <f t="shared" ref="Y17:Y64" si="5">NPV($W$15,T18)+Y16</f>
        <v>-88998.15188</v>
      </c>
    </row>
    <row r="18">
      <c r="A18" s="85">
        <v>1.0</v>
      </c>
      <c r="B18" s="78">
        <v>1.0</v>
      </c>
      <c r="C18" s="78">
        <v>0.0</v>
      </c>
      <c r="D18" s="79">
        <f t="shared" ref="D18:D71" si="6">H17</f>
        <v>89264.01206</v>
      </c>
      <c r="E18" s="80">
        <f t="shared" si="1"/>
        <v>928.3457255</v>
      </c>
      <c r="F18" s="80"/>
      <c r="G18" s="81"/>
      <c r="H18" s="80">
        <f t="shared" si="2"/>
        <v>90192.35779</v>
      </c>
      <c r="I18" s="80">
        <f>Financiero!$I$3-'Mano de obra'!$F$9</f>
        <v>750.8696421</v>
      </c>
      <c r="J18" s="83">
        <v>0.0</v>
      </c>
      <c r="K18" s="81"/>
      <c r="L18" s="79">
        <f t="shared" ref="L18:L19" si="7">-I18-K18</f>
        <v>-750.8696421</v>
      </c>
      <c r="M18" s="81">
        <f t="shared" si="3"/>
        <v>0</v>
      </c>
      <c r="N18" s="81">
        <f t="shared" si="4"/>
        <v>0</v>
      </c>
      <c r="O18" s="79">
        <f t="shared" ref="O18:O137" si="8">(I18+E18+J18)*$B$5</f>
        <v>352.6352272</v>
      </c>
      <c r="P18" s="83">
        <v>0.0</v>
      </c>
      <c r="Q18" s="79">
        <f t="shared" ref="Q18:Q19" si="9">L18-M18-P18</f>
        <v>-750.8696421</v>
      </c>
      <c r="R18" s="83">
        <v>0.0</v>
      </c>
      <c r="S18" s="79">
        <f t="shared" ref="S18:S19" si="10">Q18</f>
        <v>-750.8696421</v>
      </c>
      <c r="T18" s="79">
        <f t="shared" ref="T18:T137" si="11">C18-G18-I18-J18-P18-R18-M18</f>
        <v>-750.8696421</v>
      </c>
      <c r="U18" s="86">
        <f>SUM(T18:T29)</f>
        <v>22505.67111</v>
      </c>
      <c r="X18" s="75">
        <v>2.0</v>
      </c>
      <c r="Y18" s="84">
        <f t="shared" si="5"/>
        <v>-89651.08201</v>
      </c>
    </row>
    <row r="19">
      <c r="A19" s="7"/>
      <c r="B19" s="78">
        <v>2.0</v>
      </c>
      <c r="C19" s="78">
        <v>0.0</v>
      </c>
      <c r="D19" s="79">
        <f t="shared" si="6"/>
        <v>90192.35779</v>
      </c>
      <c r="E19" s="80">
        <f t="shared" si="1"/>
        <v>938.000521</v>
      </c>
      <c r="F19" s="80"/>
      <c r="G19" s="81"/>
      <c r="H19" s="80">
        <f t="shared" si="2"/>
        <v>91130.35831</v>
      </c>
      <c r="I19" s="80">
        <f>Financiero!$I$3-'Mano de obra'!$F$9</f>
        <v>750.8696421</v>
      </c>
      <c r="J19" s="83">
        <v>0.0</v>
      </c>
      <c r="K19" s="87">
        <v>0.0</v>
      </c>
      <c r="L19" s="79">
        <f t="shared" si="7"/>
        <v>-750.8696421</v>
      </c>
      <c r="M19" s="81">
        <f t="shared" si="3"/>
        <v>0</v>
      </c>
      <c r="N19" s="81">
        <f t="shared" si="4"/>
        <v>0</v>
      </c>
      <c r="O19" s="79">
        <f t="shared" si="8"/>
        <v>354.6627343</v>
      </c>
      <c r="P19" s="83">
        <v>0.0</v>
      </c>
      <c r="Q19" s="79">
        <f t="shared" si="9"/>
        <v>-750.8696421</v>
      </c>
      <c r="R19" s="83">
        <v>0.0</v>
      </c>
      <c r="S19" s="79">
        <f t="shared" si="10"/>
        <v>-750.8696421</v>
      </c>
      <c r="T19" s="79">
        <f t="shared" si="11"/>
        <v>-750.8696421</v>
      </c>
      <c r="U19" s="7"/>
      <c r="X19" s="75">
        <v>3.0</v>
      </c>
      <c r="Y19" s="84">
        <f t="shared" si="5"/>
        <v>-86536.37673</v>
      </c>
    </row>
    <row r="20">
      <c r="A20" s="7"/>
      <c r="B20" s="78">
        <v>3.0</v>
      </c>
      <c r="C20" s="79">
        <f>Financiero!$F$3*Financiero!$B$3</f>
        <v>20000</v>
      </c>
      <c r="D20" s="79">
        <f t="shared" si="6"/>
        <v>91130.35831</v>
      </c>
      <c r="E20" s="80">
        <f t="shared" si="1"/>
        <v>947.7557264</v>
      </c>
      <c r="F20" s="80"/>
      <c r="G20" s="81"/>
      <c r="H20" s="80">
        <f t="shared" si="2"/>
        <v>92078.11404</v>
      </c>
      <c r="I20" s="80">
        <f>Financiero!$I$3</f>
        <v>3935.200695</v>
      </c>
      <c r="J20" s="88">
        <f>Financiero!$I$2*Financiero!$F$3</f>
        <v>10692.36037</v>
      </c>
      <c r="K20" s="80">
        <f>(Financiero!$D$13+Financiero!$D$14+Financiero!$D$15)/12</f>
        <v>683.175</v>
      </c>
      <c r="L20" s="79">
        <f t="shared" ref="L20:L137" si="12">C20-E20-I20-J20-K20</f>
        <v>3741.50821</v>
      </c>
      <c r="M20" s="80">
        <f t="shared" si="3"/>
        <v>740</v>
      </c>
      <c r="N20" s="80">
        <f t="shared" si="4"/>
        <v>4200</v>
      </c>
      <c r="O20" s="79">
        <f t="shared" si="8"/>
        <v>3270.816526</v>
      </c>
      <c r="P20" s="83">
        <v>0.0</v>
      </c>
      <c r="Q20" s="79">
        <f t="shared" ref="Q20:Q137" si="13">L20-M20-P20-F20</f>
        <v>3001.50821</v>
      </c>
      <c r="R20" s="80">
        <f t="shared" ref="R20:R137" si="14">Q20*$B$7</f>
        <v>1050.527874</v>
      </c>
      <c r="S20" s="79">
        <f t="shared" ref="S20:S137" si="15">Q20-R20</f>
        <v>1950.980337</v>
      </c>
      <c r="T20" s="79">
        <f t="shared" si="11"/>
        <v>3581.911063</v>
      </c>
      <c r="U20" s="7"/>
      <c r="X20" s="75">
        <v>4.0</v>
      </c>
      <c r="Y20" s="84">
        <f t="shared" si="5"/>
        <v>-83418.67161</v>
      </c>
    </row>
    <row r="21">
      <c r="A21" s="7"/>
      <c r="B21" s="78">
        <v>4.0</v>
      </c>
      <c r="C21" s="79">
        <f>Financiero!$F$3*Financiero!$B$3</f>
        <v>20000</v>
      </c>
      <c r="D21" s="79">
        <f t="shared" si="6"/>
        <v>92078.11404</v>
      </c>
      <c r="E21" s="80">
        <f t="shared" si="1"/>
        <v>957.612386</v>
      </c>
      <c r="F21" s="80"/>
      <c r="G21" s="81"/>
      <c r="H21" s="80">
        <f t="shared" si="2"/>
        <v>93035.72642</v>
      </c>
      <c r="I21" s="80">
        <f>Financiero!$I$3</f>
        <v>3935.200695</v>
      </c>
      <c r="J21" s="88">
        <f>Financiero!$I$2*Financiero!$F$3</f>
        <v>10692.36037</v>
      </c>
      <c r="K21" s="80">
        <f>(Financiero!$D$13+Financiero!$D$14+Financiero!$D$15)/12</f>
        <v>683.175</v>
      </c>
      <c r="L21" s="79">
        <f t="shared" si="12"/>
        <v>3731.651551</v>
      </c>
      <c r="M21" s="80">
        <f t="shared" si="3"/>
        <v>740</v>
      </c>
      <c r="N21" s="80">
        <f t="shared" si="4"/>
        <v>4200</v>
      </c>
      <c r="O21" s="79">
        <f t="shared" si="8"/>
        <v>3272.886424</v>
      </c>
      <c r="P21" s="83">
        <v>0.0</v>
      </c>
      <c r="Q21" s="79">
        <f t="shared" si="13"/>
        <v>2991.651551</v>
      </c>
      <c r="R21" s="80">
        <f t="shared" si="14"/>
        <v>1047.078043</v>
      </c>
      <c r="S21" s="79">
        <f t="shared" si="15"/>
        <v>1944.573508</v>
      </c>
      <c r="T21" s="79">
        <f t="shared" si="11"/>
        <v>3585.360894</v>
      </c>
      <c r="U21" s="7"/>
      <c r="X21" s="75">
        <v>5.0</v>
      </c>
      <c r="Y21" s="84">
        <f t="shared" si="5"/>
        <v>-80297.93543</v>
      </c>
    </row>
    <row r="22">
      <c r="A22" s="7"/>
      <c r="B22" s="78">
        <v>5.0</v>
      </c>
      <c r="C22" s="79">
        <f>Financiero!$F$3*Financiero!$B$3</f>
        <v>20000</v>
      </c>
      <c r="D22" s="79">
        <f t="shared" si="6"/>
        <v>93035.72642</v>
      </c>
      <c r="E22" s="80">
        <f t="shared" si="1"/>
        <v>967.5715548</v>
      </c>
      <c r="F22" s="80"/>
      <c r="G22" s="81"/>
      <c r="H22" s="80">
        <f t="shared" si="2"/>
        <v>94003.29798</v>
      </c>
      <c r="I22" s="88">
        <f>Financiero!$I$3</f>
        <v>3935.200695</v>
      </c>
      <c r="J22" s="88">
        <f>Financiero!$I$2*Financiero!$F$3</f>
        <v>10692.36037</v>
      </c>
      <c r="K22" s="80">
        <f>(Financiero!$D$13+Financiero!$D$14+Financiero!$D$15)/12</f>
        <v>683.175</v>
      </c>
      <c r="L22" s="79">
        <f t="shared" si="12"/>
        <v>3721.692382</v>
      </c>
      <c r="M22" s="80">
        <f t="shared" si="3"/>
        <v>740</v>
      </c>
      <c r="N22" s="80">
        <f t="shared" si="4"/>
        <v>4200</v>
      </c>
      <c r="O22" s="89">
        <f t="shared" si="8"/>
        <v>3274.97785</v>
      </c>
      <c r="P22" s="83">
        <v>0.0</v>
      </c>
      <c r="Q22" s="79">
        <f t="shared" si="13"/>
        <v>2981.692382</v>
      </c>
      <c r="R22" s="80">
        <f t="shared" si="14"/>
        <v>1043.592334</v>
      </c>
      <c r="S22" s="79">
        <f t="shared" si="15"/>
        <v>1938.100048</v>
      </c>
      <c r="T22" s="79">
        <f t="shared" si="11"/>
        <v>3588.846603</v>
      </c>
      <c r="U22" s="7"/>
      <c r="X22" s="75">
        <v>6.0</v>
      </c>
      <c r="Y22" s="84">
        <f t="shared" si="5"/>
        <v>-77174.13668</v>
      </c>
    </row>
    <row r="23">
      <c r="A23" s="7"/>
      <c r="B23" s="78">
        <v>6.0</v>
      </c>
      <c r="C23" s="79">
        <f>Financiero!$F$3*Financiero!$B$3</f>
        <v>20000</v>
      </c>
      <c r="D23" s="79">
        <f t="shared" si="6"/>
        <v>94003.29798</v>
      </c>
      <c r="E23" s="80">
        <f t="shared" si="1"/>
        <v>977.634299</v>
      </c>
      <c r="F23" s="80"/>
      <c r="G23" s="81"/>
      <c r="H23" s="80">
        <f t="shared" si="2"/>
        <v>94980.93228</v>
      </c>
      <c r="I23" s="80">
        <f>Financiero!$I$3</f>
        <v>3935.200695</v>
      </c>
      <c r="J23" s="88">
        <f>Financiero!$I$2*Financiero!$F$3</f>
        <v>10692.36037</v>
      </c>
      <c r="K23" s="80">
        <f>(Financiero!$D$13+Financiero!$D$14+Financiero!$D$15)/12</f>
        <v>683.175</v>
      </c>
      <c r="L23" s="79">
        <f t="shared" si="12"/>
        <v>3711.629638</v>
      </c>
      <c r="M23" s="80">
        <f t="shared" si="3"/>
        <v>740</v>
      </c>
      <c r="N23" s="80">
        <f t="shared" si="4"/>
        <v>4200</v>
      </c>
      <c r="O23" s="79">
        <f t="shared" si="8"/>
        <v>3277.091026</v>
      </c>
      <c r="P23" s="83">
        <v>0.0</v>
      </c>
      <c r="Q23" s="79">
        <f t="shared" si="13"/>
        <v>2971.629638</v>
      </c>
      <c r="R23" s="80">
        <f t="shared" si="14"/>
        <v>1040.070373</v>
      </c>
      <c r="S23" s="79">
        <f t="shared" si="15"/>
        <v>1931.559265</v>
      </c>
      <c r="T23" s="79">
        <f t="shared" si="11"/>
        <v>3592.368564</v>
      </c>
      <c r="U23" s="7"/>
      <c r="X23" s="75">
        <v>7.0</v>
      </c>
      <c r="Y23" s="84">
        <f t="shared" si="5"/>
        <v>-75774.29273</v>
      </c>
    </row>
    <row r="24">
      <c r="A24" s="7"/>
      <c r="B24" s="78">
        <v>7.0</v>
      </c>
      <c r="C24" s="79">
        <f>Financiero!$F$3*Financiero!$B$3</f>
        <v>20000</v>
      </c>
      <c r="D24" s="79">
        <f t="shared" si="6"/>
        <v>94980.93228</v>
      </c>
      <c r="E24" s="80">
        <f t="shared" si="1"/>
        <v>987.8016957</v>
      </c>
      <c r="F24" s="80">
        <f t="shared" ref="F24:F71" si="16">G24-E24</f>
        <v>1535.853712</v>
      </c>
      <c r="G24" s="90">
        <f>PMT(B4,B3,-D24)</f>
        <v>2523.655407</v>
      </c>
      <c r="H24" s="80">
        <f t="shared" ref="H24:H71" si="17">D24-F24</f>
        <v>93445.07857</v>
      </c>
      <c r="I24" s="80">
        <f>Financiero!$I$3</f>
        <v>3935.200695</v>
      </c>
      <c r="J24" s="88">
        <f>Financiero!$I$2*Financiero!$F$3</f>
        <v>10692.36037</v>
      </c>
      <c r="K24" s="80">
        <f>(Financiero!$D$13+Financiero!$D$14+Financiero!$D$15)/12</f>
        <v>683.175</v>
      </c>
      <c r="L24" s="79">
        <f t="shared" si="12"/>
        <v>3701.462241</v>
      </c>
      <c r="M24" s="80">
        <f t="shared" si="3"/>
        <v>740</v>
      </c>
      <c r="N24" s="80">
        <f t="shared" si="4"/>
        <v>4200</v>
      </c>
      <c r="O24" s="79">
        <f t="shared" si="8"/>
        <v>3279.226179</v>
      </c>
      <c r="P24" s="83">
        <v>0.0</v>
      </c>
      <c r="Q24" s="79">
        <f t="shared" si="13"/>
        <v>1425.60853</v>
      </c>
      <c r="R24" s="80">
        <f t="shared" si="14"/>
        <v>498.9629854</v>
      </c>
      <c r="S24" s="79">
        <f t="shared" si="15"/>
        <v>926.6455443</v>
      </c>
      <c r="T24" s="79">
        <f t="shared" si="11"/>
        <v>1609.820544</v>
      </c>
      <c r="U24" s="7"/>
      <c r="X24" s="75">
        <v>8.0</v>
      </c>
      <c r="Y24" s="84">
        <f t="shared" si="5"/>
        <v>-74374.44878</v>
      </c>
    </row>
    <row r="25">
      <c r="A25" s="7"/>
      <c r="B25" s="78">
        <v>8.0</v>
      </c>
      <c r="C25" s="79">
        <f>Financiero!$F$3*Financiero!$B$3</f>
        <v>20000</v>
      </c>
      <c r="D25" s="79">
        <f t="shared" si="6"/>
        <v>93445.07857</v>
      </c>
      <c r="E25" s="80">
        <f t="shared" si="1"/>
        <v>971.8288171</v>
      </c>
      <c r="F25" s="80">
        <f t="shared" si="16"/>
        <v>1551.82659</v>
      </c>
      <c r="G25" s="90">
        <f t="shared" ref="G25:G71" si="18">$G$24</f>
        <v>2523.655407</v>
      </c>
      <c r="H25" s="80">
        <f t="shared" si="17"/>
        <v>91893.25198</v>
      </c>
      <c r="I25" s="80">
        <f>Financiero!$I$3</f>
        <v>3935.200695</v>
      </c>
      <c r="J25" s="88">
        <f>Financiero!$I$2*Financiero!$F$3</f>
        <v>10692.36037</v>
      </c>
      <c r="K25" s="80">
        <f>(Financiero!$D$13+Financiero!$D$14+Financiero!$D$15)/12</f>
        <v>683.175</v>
      </c>
      <c r="L25" s="79">
        <f t="shared" si="12"/>
        <v>3717.43512</v>
      </c>
      <c r="M25" s="80">
        <f t="shared" si="3"/>
        <v>740</v>
      </c>
      <c r="N25" s="80">
        <f t="shared" si="4"/>
        <v>4200</v>
      </c>
      <c r="O25" s="79">
        <f t="shared" si="8"/>
        <v>3275.871875</v>
      </c>
      <c r="P25" s="83">
        <v>0.0</v>
      </c>
      <c r="Q25" s="79">
        <f t="shared" si="13"/>
        <v>1425.60853</v>
      </c>
      <c r="R25" s="80">
        <f t="shared" si="14"/>
        <v>498.9629854</v>
      </c>
      <c r="S25" s="79">
        <f t="shared" si="15"/>
        <v>926.6455443</v>
      </c>
      <c r="T25" s="79">
        <f t="shared" si="11"/>
        <v>1609.820544</v>
      </c>
      <c r="U25" s="7"/>
      <c r="X25" s="75">
        <v>9.0</v>
      </c>
      <c r="Y25" s="84">
        <f t="shared" si="5"/>
        <v>-72974.60483</v>
      </c>
    </row>
    <row r="26">
      <c r="A26" s="7"/>
      <c r="B26" s="78">
        <v>9.0</v>
      </c>
      <c r="C26" s="79">
        <f>Financiero!$F$3*Financiero!$B$3</f>
        <v>20000</v>
      </c>
      <c r="D26" s="79">
        <f t="shared" si="6"/>
        <v>91893.25198</v>
      </c>
      <c r="E26" s="80">
        <f t="shared" si="1"/>
        <v>955.6898205</v>
      </c>
      <c r="F26" s="80">
        <f t="shared" si="16"/>
        <v>1567.965587</v>
      </c>
      <c r="G26" s="90">
        <f t="shared" si="18"/>
        <v>2523.655407</v>
      </c>
      <c r="H26" s="80">
        <f t="shared" si="17"/>
        <v>90325.28639</v>
      </c>
      <c r="I26" s="80">
        <f>Financiero!$I$3</f>
        <v>3935.200695</v>
      </c>
      <c r="J26" s="88">
        <f>Financiero!$I$2*Financiero!$F$3</f>
        <v>10692.36037</v>
      </c>
      <c r="K26" s="80">
        <f>(Financiero!$D$13+Financiero!$D$14+Financiero!$D$15)/12</f>
        <v>683.175</v>
      </c>
      <c r="L26" s="79">
        <f t="shared" si="12"/>
        <v>3733.574116</v>
      </c>
      <c r="M26" s="80">
        <f t="shared" si="3"/>
        <v>740</v>
      </c>
      <c r="N26" s="80">
        <f t="shared" si="4"/>
        <v>4200</v>
      </c>
      <c r="O26" s="79">
        <f t="shared" si="8"/>
        <v>3272.482686</v>
      </c>
      <c r="P26" s="83">
        <v>0.0</v>
      </c>
      <c r="Q26" s="79">
        <f t="shared" si="13"/>
        <v>1425.60853</v>
      </c>
      <c r="R26" s="80">
        <f t="shared" si="14"/>
        <v>498.9629854</v>
      </c>
      <c r="S26" s="79">
        <f t="shared" si="15"/>
        <v>926.6455443</v>
      </c>
      <c r="T26" s="79">
        <f t="shared" si="11"/>
        <v>1609.820544</v>
      </c>
      <c r="U26" s="7"/>
      <c r="X26" s="75">
        <v>10.0</v>
      </c>
      <c r="Y26" s="84">
        <f t="shared" si="5"/>
        <v>-71574.76087</v>
      </c>
    </row>
    <row r="27">
      <c r="A27" s="7"/>
      <c r="B27" s="78">
        <v>10.0</v>
      </c>
      <c r="C27" s="79">
        <f>Financiero!$F$3*Financiero!$B$3</f>
        <v>20000</v>
      </c>
      <c r="D27" s="79">
        <f t="shared" si="6"/>
        <v>90325.28639</v>
      </c>
      <c r="E27" s="80">
        <f t="shared" si="1"/>
        <v>939.3829784</v>
      </c>
      <c r="F27" s="80">
        <f t="shared" si="16"/>
        <v>1584.272429</v>
      </c>
      <c r="G27" s="90">
        <f t="shared" si="18"/>
        <v>2523.655407</v>
      </c>
      <c r="H27" s="80">
        <f t="shared" si="17"/>
        <v>88741.01396</v>
      </c>
      <c r="I27" s="80">
        <f>Financiero!$I$3</f>
        <v>3935.200695</v>
      </c>
      <c r="J27" s="88">
        <f>Financiero!$I$2*Financiero!$F$3</f>
        <v>10692.36037</v>
      </c>
      <c r="K27" s="80">
        <f>(Financiero!$D$13+Financiero!$D$14+Financiero!$D$15)/12</f>
        <v>683.175</v>
      </c>
      <c r="L27" s="79">
        <f t="shared" si="12"/>
        <v>3749.880958</v>
      </c>
      <c r="M27" s="80">
        <f t="shared" si="3"/>
        <v>740</v>
      </c>
      <c r="N27" s="80">
        <f t="shared" si="4"/>
        <v>4200</v>
      </c>
      <c r="O27" s="79">
        <f t="shared" si="8"/>
        <v>3269.058249</v>
      </c>
      <c r="P27" s="83">
        <v>0.0</v>
      </c>
      <c r="Q27" s="79">
        <f t="shared" si="13"/>
        <v>1425.60853</v>
      </c>
      <c r="R27" s="80">
        <f t="shared" si="14"/>
        <v>498.9629854</v>
      </c>
      <c r="S27" s="79">
        <f t="shared" si="15"/>
        <v>926.6455443</v>
      </c>
      <c r="T27" s="79">
        <f t="shared" si="11"/>
        <v>1609.820544</v>
      </c>
      <c r="U27" s="7"/>
      <c r="X27" s="75">
        <v>11.0</v>
      </c>
      <c r="Y27" s="84">
        <f t="shared" si="5"/>
        <v>-70174.91692</v>
      </c>
    </row>
    <row r="28">
      <c r="A28" s="7"/>
      <c r="B28" s="78">
        <v>11.0</v>
      </c>
      <c r="C28" s="79">
        <f>Financiero!$F$3*Financiero!$B$3</f>
        <v>20000</v>
      </c>
      <c r="D28" s="79">
        <f t="shared" si="6"/>
        <v>88741.01396</v>
      </c>
      <c r="E28" s="80">
        <f t="shared" si="1"/>
        <v>922.9065452</v>
      </c>
      <c r="F28" s="80">
        <f t="shared" si="16"/>
        <v>1600.748862</v>
      </c>
      <c r="G28" s="90">
        <f t="shared" si="18"/>
        <v>2523.655407</v>
      </c>
      <c r="H28" s="80">
        <f t="shared" si="17"/>
        <v>87140.2651</v>
      </c>
      <c r="I28" s="80">
        <f>Financiero!$I$3</f>
        <v>3935.200695</v>
      </c>
      <c r="J28" s="88">
        <f>Financiero!$I$2*Financiero!$F$3</f>
        <v>10692.36037</v>
      </c>
      <c r="K28" s="80">
        <f>(Financiero!$D$13+Financiero!$D$14+Financiero!$D$15)/12</f>
        <v>683.175</v>
      </c>
      <c r="L28" s="79">
        <f t="shared" si="12"/>
        <v>3766.357392</v>
      </c>
      <c r="M28" s="80">
        <f t="shared" si="3"/>
        <v>740</v>
      </c>
      <c r="N28" s="80">
        <f t="shared" si="4"/>
        <v>4200</v>
      </c>
      <c r="O28" s="79">
        <f t="shared" si="8"/>
        <v>3265.598198</v>
      </c>
      <c r="P28" s="83">
        <v>0.0</v>
      </c>
      <c r="Q28" s="79">
        <f t="shared" si="13"/>
        <v>1425.60853</v>
      </c>
      <c r="R28" s="80">
        <f t="shared" si="14"/>
        <v>498.9629854</v>
      </c>
      <c r="S28" s="79">
        <f t="shared" si="15"/>
        <v>926.6455443</v>
      </c>
      <c r="T28" s="79">
        <f t="shared" si="11"/>
        <v>1609.820544</v>
      </c>
      <c r="U28" s="7"/>
      <c r="X28" s="75">
        <v>12.0</v>
      </c>
      <c r="Y28" s="84">
        <f t="shared" si="5"/>
        <v>-68775.07297</v>
      </c>
    </row>
    <row r="29">
      <c r="A29" s="10"/>
      <c r="B29" s="78">
        <v>12.0</v>
      </c>
      <c r="C29" s="79">
        <f>Financiero!$F$3*Financiero!$B$3</f>
        <v>20000</v>
      </c>
      <c r="D29" s="79">
        <f t="shared" si="6"/>
        <v>87140.2651</v>
      </c>
      <c r="E29" s="80">
        <f t="shared" si="1"/>
        <v>906.258757</v>
      </c>
      <c r="F29" s="80">
        <f t="shared" si="16"/>
        <v>1617.39665</v>
      </c>
      <c r="G29" s="90">
        <f t="shared" si="18"/>
        <v>2523.655407</v>
      </c>
      <c r="H29" s="80">
        <f t="shared" si="17"/>
        <v>85522.86845</v>
      </c>
      <c r="I29" s="80">
        <f>Financiero!$I$3</f>
        <v>3935.200695</v>
      </c>
      <c r="J29" s="88">
        <f>Financiero!$I$2*Financiero!$F$3</f>
        <v>10692.36037</v>
      </c>
      <c r="K29" s="80">
        <f>(Financiero!$D$13+Financiero!$D$14+Financiero!$D$15)/12</f>
        <v>683.175</v>
      </c>
      <c r="L29" s="79">
        <f t="shared" si="12"/>
        <v>3783.00518</v>
      </c>
      <c r="M29" s="80">
        <f t="shared" si="3"/>
        <v>740</v>
      </c>
      <c r="N29" s="80">
        <f t="shared" si="4"/>
        <v>4200</v>
      </c>
      <c r="O29" s="79">
        <f t="shared" si="8"/>
        <v>3262.102162</v>
      </c>
      <c r="P29" s="83">
        <v>0.0</v>
      </c>
      <c r="Q29" s="79">
        <f t="shared" si="13"/>
        <v>1425.60853</v>
      </c>
      <c r="R29" s="80">
        <f t="shared" si="14"/>
        <v>498.9629854</v>
      </c>
      <c r="S29" s="79">
        <f t="shared" si="15"/>
        <v>926.6455443</v>
      </c>
      <c r="T29" s="79">
        <f t="shared" si="11"/>
        <v>1609.820544</v>
      </c>
      <c r="U29" s="10"/>
      <c r="X29" s="75">
        <v>13.0</v>
      </c>
      <c r="Y29" s="84">
        <f t="shared" si="5"/>
        <v>-67375.22902</v>
      </c>
    </row>
    <row r="30">
      <c r="A30" s="85">
        <v>2.0</v>
      </c>
      <c r="B30" s="78">
        <v>1.0</v>
      </c>
      <c r="C30" s="79">
        <f>Financiero!$B$4*Financiero!$F$4</f>
        <v>20000</v>
      </c>
      <c r="D30" s="79">
        <f t="shared" si="6"/>
        <v>85522.86845</v>
      </c>
      <c r="E30" s="80">
        <f t="shared" si="1"/>
        <v>889.4378319</v>
      </c>
      <c r="F30" s="80">
        <f t="shared" si="16"/>
        <v>1634.217575</v>
      </c>
      <c r="G30" s="90">
        <f t="shared" si="18"/>
        <v>2523.655407</v>
      </c>
      <c r="H30" s="80">
        <f t="shared" si="17"/>
        <v>83888.65087</v>
      </c>
      <c r="I30" s="80">
        <f>Financiero!$I$3</f>
        <v>3935.200695</v>
      </c>
      <c r="J30" s="80">
        <f>Financiero!$I$2*Financiero!$F$4</f>
        <v>10692.36037</v>
      </c>
      <c r="K30" s="80">
        <f>(Financiero!$D$13+Financiero!$D$14+Financiero!$D$15)/12</f>
        <v>683.175</v>
      </c>
      <c r="L30" s="79">
        <f t="shared" si="12"/>
        <v>3799.826105</v>
      </c>
      <c r="M30" s="80">
        <f t="shared" si="3"/>
        <v>740</v>
      </c>
      <c r="N30" s="80">
        <f t="shared" si="4"/>
        <v>4200</v>
      </c>
      <c r="O30" s="79">
        <f t="shared" si="8"/>
        <v>3258.569768</v>
      </c>
      <c r="P30" s="83">
        <v>0.0</v>
      </c>
      <c r="Q30" s="79">
        <f t="shared" si="13"/>
        <v>1425.60853</v>
      </c>
      <c r="R30" s="80">
        <f t="shared" si="14"/>
        <v>498.9629854</v>
      </c>
      <c r="S30" s="79">
        <f t="shared" si="15"/>
        <v>926.6455443</v>
      </c>
      <c r="T30" s="79">
        <f t="shared" si="11"/>
        <v>1609.820544</v>
      </c>
      <c r="U30" s="86">
        <f>SUM(T30:T41)</f>
        <v>18572.64387</v>
      </c>
      <c r="X30" s="75">
        <v>14.0</v>
      </c>
      <c r="Y30" s="84">
        <f t="shared" si="5"/>
        <v>-65975.38507</v>
      </c>
    </row>
    <row r="31">
      <c r="A31" s="7"/>
      <c r="B31" s="78">
        <v>2.0</v>
      </c>
      <c r="C31" s="79">
        <f>Financiero!$B$4*Financiero!$F$4</f>
        <v>20000</v>
      </c>
      <c r="D31" s="79">
        <f t="shared" si="6"/>
        <v>83888.65087</v>
      </c>
      <c r="E31" s="80">
        <f t="shared" si="1"/>
        <v>872.4419691</v>
      </c>
      <c r="F31" s="80">
        <f t="shared" si="16"/>
        <v>1651.213438</v>
      </c>
      <c r="G31" s="90">
        <f t="shared" si="18"/>
        <v>2523.655407</v>
      </c>
      <c r="H31" s="80">
        <f t="shared" si="17"/>
        <v>82237.43743</v>
      </c>
      <c r="I31" s="80">
        <f>Financiero!$I$3</f>
        <v>3935.200695</v>
      </c>
      <c r="J31" s="80">
        <f>Financiero!$I$2*Financiero!$F$4</f>
        <v>10692.36037</v>
      </c>
      <c r="K31" s="80">
        <f>(Financiero!$D$13+Financiero!$D$14+Financiero!$D$15)/12</f>
        <v>683.175</v>
      </c>
      <c r="L31" s="79">
        <f t="shared" si="12"/>
        <v>3816.821968</v>
      </c>
      <c r="M31" s="80">
        <f t="shared" si="3"/>
        <v>740</v>
      </c>
      <c r="N31" s="80">
        <f t="shared" si="4"/>
        <v>4200</v>
      </c>
      <c r="O31" s="79">
        <f t="shared" si="8"/>
        <v>3255.000637</v>
      </c>
      <c r="P31" s="83">
        <v>0.0</v>
      </c>
      <c r="Q31" s="79">
        <f t="shared" si="13"/>
        <v>1425.60853</v>
      </c>
      <c r="R31" s="80">
        <f t="shared" si="14"/>
        <v>498.9629854</v>
      </c>
      <c r="S31" s="79">
        <f t="shared" si="15"/>
        <v>926.6455443</v>
      </c>
      <c r="T31" s="79">
        <f t="shared" si="11"/>
        <v>1609.820544</v>
      </c>
      <c r="U31" s="7"/>
      <c r="X31" s="75">
        <v>15.0</v>
      </c>
      <c r="Y31" s="84">
        <f t="shared" si="5"/>
        <v>-64575.54112</v>
      </c>
    </row>
    <row r="32">
      <c r="A32" s="7"/>
      <c r="B32" s="78">
        <v>3.0</v>
      </c>
      <c r="C32" s="79">
        <f>Financiero!$B$4*Financiero!$F$4</f>
        <v>20000</v>
      </c>
      <c r="D32" s="79">
        <f t="shared" si="6"/>
        <v>82237.43743</v>
      </c>
      <c r="E32" s="80">
        <f t="shared" si="1"/>
        <v>855.2693493</v>
      </c>
      <c r="F32" s="80">
        <f t="shared" si="16"/>
        <v>1668.386058</v>
      </c>
      <c r="G32" s="90">
        <f t="shared" si="18"/>
        <v>2523.655407</v>
      </c>
      <c r="H32" s="80">
        <f t="shared" si="17"/>
        <v>80569.05138</v>
      </c>
      <c r="I32" s="80">
        <f>Financiero!$I$3</f>
        <v>3935.200695</v>
      </c>
      <c r="J32" s="80">
        <f>Financiero!$I$2*Financiero!$F$4</f>
        <v>10692.36037</v>
      </c>
      <c r="K32" s="80">
        <f>(Financiero!$D$13+Financiero!$D$14+Financiero!$D$15)/12</f>
        <v>683.175</v>
      </c>
      <c r="L32" s="79">
        <f t="shared" si="12"/>
        <v>3833.994588</v>
      </c>
      <c r="M32" s="80">
        <f t="shared" si="3"/>
        <v>740</v>
      </c>
      <c r="N32" s="80">
        <f t="shared" si="4"/>
        <v>4200</v>
      </c>
      <c r="O32" s="79">
        <f t="shared" si="8"/>
        <v>3251.394387</v>
      </c>
      <c r="P32" s="83">
        <v>0.0</v>
      </c>
      <c r="Q32" s="79">
        <f t="shared" si="13"/>
        <v>1425.60853</v>
      </c>
      <c r="R32" s="80">
        <f t="shared" si="14"/>
        <v>498.9629854</v>
      </c>
      <c r="S32" s="79">
        <f t="shared" si="15"/>
        <v>926.6455443</v>
      </c>
      <c r="T32" s="79">
        <f t="shared" si="11"/>
        <v>1609.820544</v>
      </c>
      <c r="U32" s="7"/>
      <c r="X32" s="75">
        <v>16.0</v>
      </c>
      <c r="Y32" s="84">
        <f t="shared" si="5"/>
        <v>-63175.69716</v>
      </c>
    </row>
    <row r="33">
      <c r="A33" s="7"/>
      <c r="B33" s="78">
        <v>4.0</v>
      </c>
      <c r="C33" s="79">
        <f>Financiero!$B$4*Financiero!$F$4</f>
        <v>20000</v>
      </c>
      <c r="D33" s="79">
        <f t="shared" si="6"/>
        <v>80569.05138</v>
      </c>
      <c r="E33" s="80">
        <f t="shared" si="1"/>
        <v>837.9181343</v>
      </c>
      <c r="F33" s="80">
        <f t="shared" si="16"/>
        <v>1685.737273</v>
      </c>
      <c r="G33" s="90">
        <f t="shared" si="18"/>
        <v>2523.655407</v>
      </c>
      <c r="H33" s="80">
        <f t="shared" si="17"/>
        <v>78883.3141</v>
      </c>
      <c r="I33" s="80">
        <f>Financiero!$I$3</f>
        <v>3935.200695</v>
      </c>
      <c r="J33" s="80">
        <f>Financiero!$I$2*Financiero!$F$4</f>
        <v>10692.36037</v>
      </c>
      <c r="K33" s="80">
        <f>(Financiero!$D$13+Financiero!$D$14+Financiero!$D$15)/12</f>
        <v>683.175</v>
      </c>
      <c r="L33" s="79">
        <f t="shared" si="12"/>
        <v>3851.345803</v>
      </c>
      <c r="M33" s="80">
        <f t="shared" si="3"/>
        <v>740</v>
      </c>
      <c r="N33" s="80">
        <f t="shared" si="4"/>
        <v>4200</v>
      </c>
      <c r="O33" s="79">
        <f t="shared" si="8"/>
        <v>3247.750631</v>
      </c>
      <c r="P33" s="83">
        <v>0.0</v>
      </c>
      <c r="Q33" s="79">
        <f t="shared" si="13"/>
        <v>1425.60853</v>
      </c>
      <c r="R33" s="80">
        <f t="shared" si="14"/>
        <v>498.9629854</v>
      </c>
      <c r="S33" s="79">
        <f t="shared" si="15"/>
        <v>926.6455443</v>
      </c>
      <c r="T33" s="79">
        <f t="shared" si="11"/>
        <v>1609.820544</v>
      </c>
      <c r="U33" s="7"/>
      <c r="X33" s="75">
        <v>17.0</v>
      </c>
      <c r="Y33" s="84">
        <f t="shared" si="5"/>
        <v>-61775.85321</v>
      </c>
    </row>
    <row r="34">
      <c r="A34" s="7"/>
      <c r="B34" s="78">
        <v>5.0</v>
      </c>
      <c r="C34" s="79">
        <f>Financiero!$B$4*Financiero!$F$4</f>
        <v>20000</v>
      </c>
      <c r="D34" s="79">
        <f t="shared" si="6"/>
        <v>78883.3141</v>
      </c>
      <c r="E34" s="80">
        <f t="shared" si="1"/>
        <v>820.3864667</v>
      </c>
      <c r="F34" s="80">
        <f t="shared" si="16"/>
        <v>1703.268941</v>
      </c>
      <c r="G34" s="90">
        <f t="shared" si="18"/>
        <v>2523.655407</v>
      </c>
      <c r="H34" s="80">
        <f t="shared" si="17"/>
        <v>77180.04516</v>
      </c>
      <c r="I34" s="80">
        <f>Financiero!$I$3</f>
        <v>3935.200695</v>
      </c>
      <c r="J34" s="80">
        <f>Financiero!$I$2*Financiero!$F$4</f>
        <v>10692.36037</v>
      </c>
      <c r="K34" s="80">
        <f>(Financiero!$D$13+Financiero!$D$14+Financiero!$D$15)/12</f>
        <v>683.175</v>
      </c>
      <c r="L34" s="79">
        <f t="shared" si="12"/>
        <v>3868.87747</v>
      </c>
      <c r="M34" s="80">
        <f t="shared" si="3"/>
        <v>740</v>
      </c>
      <c r="N34" s="80">
        <f t="shared" si="4"/>
        <v>4200</v>
      </c>
      <c r="O34" s="79">
        <f t="shared" si="8"/>
        <v>3244.068981</v>
      </c>
      <c r="P34" s="83">
        <v>0.0</v>
      </c>
      <c r="Q34" s="79">
        <f t="shared" si="13"/>
        <v>1425.60853</v>
      </c>
      <c r="R34" s="80">
        <f t="shared" si="14"/>
        <v>498.9629854</v>
      </c>
      <c r="S34" s="79">
        <f t="shared" si="15"/>
        <v>926.6455443</v>
      </c>
      <c r="T34" s="79">
        <f t="shared" si="11"/>
        <v>1609.820544</v>
      </c>
      <c r="U34" s="7"/>
      <c r="X34" s="75">
        <v>18.0</v>
      </c>
      <c r="Y34" s="84">
        <f t="shared" si="5"/>
        <v>-60376.00926</v>
      </c>
    </row>
    <row r="35">
      <c r="A35" s="7"/>
      <c r="B35" s="78">
        <v>6.0</v>
      </c>
      <c r="C35" s="79">
        <f>Financiero!$B$4*Financiero!$F$4</f>
        <v>20000</v>
      </c>
      <c r="D35" s="79">
        <f t="shared" si="6"/>
        <v>77180.04516</v>
      </c>
      <c r="E35" s="80">
        <f t="shared" si="1"/>
        <v>802.6724697</v>
      </c>
      <c r="F35" s="80">
        <f t="shared" si="16"/>
        <v>1720.982938</v>
      </c>
      <c r="G35" s="90">
        <f t="shared" si="18"/>
        <v>2523.655407</v>
      </c>
      <c r="H35" s="80">
        <f t="shared" si="17"/>
        <v>75459.06223</v>
      </c>
      <c r="I35" s="80">
        <f>Financiero!$I$3</f>
        <v>3935.200695</v>
      </c>
      <c r="J35" s="80">
        <f>Financiero!$I$2*Financiero!$F$4</f>
        <v>10692.36037</v>
      </c>
      <c r="K35" s="80">
        <f>(Financiero!$D$13+Financiero!$D$14+Financiero!$D$15)/12</f>
        <v>683.175</v>
      </c>
      <c r="L35" s="79">
        <f t="shared" si="12"/>
        <v>3886.591467</v>
      </c>
      <c r="M35" s="80">
        <f t="shared" si="3"/>
        <v>740</v>
      </c>
      <c r="N35" s="80">
        <f t="shared" si="4"/>
        <v>4200</v>
      </c>
      <c r="O35" s="79">
        <f t="shared" si="8"/>
        <v>3240.349042</v>
      </c>
      <c r="P35" s="83">
        <v>0.0</v>
      </c>
      <c r="Q35" s="79">
        <f t="shared" si="13"/>
        <v>1425.60853</v>
      </c>
      <c r="R35" s="80">
        <f t="shared" si="14"/>
        <v>498.9629854</v>
      </c>
      <c r="S35" s="79">
        <f t="shared" si="15"/>
        <v>926.6455443</v>
      </c>
      <c r="T35" s="79">
        <f t="shared" si="11"/>
        <v>1609.820544</v>
      </c>
      <c r="U35" s="7"/>
      <c r="X35" s="75">
        <v>19.0</v>
      </c>
      <c r="Y35" s="84">
        <f t="shared" si="5"/>
        <v>-59045.5489</v>
      </c>
    </row>
    <row r="36">
      <c r="A36" s="7"/>
      <c r="B36" s="78">
        <v>7.0</v>
      </c>
      <c r="C36" s="79">
        <f>Financiero!$B$4*Financiero!$F$4</f>
        <v>20000</v>
      </c>
      <c r="D36" s="79">
        <f t="shared" si="6"/>
        <v>75459.06223</v>
      </c>
      <c r="E36" s="80">
        <f t="shared" si="1"/>
        <v>784.7742471</v>
      </c>
      <c r="F36" s="80">
        <f t="shared" si="16"/>
        <v>1738.88116</v>
      </c>
      <c r="G36" s="90">
        <f t="shared" si="18"/>
        <v>2523.655407</v>
      </c>
      <c r="H36" s="80">
        <f t="shared" si="17"/>
        <v>73720.18107</v>
      </c>
      <c r="I36" s="80">
        <f>Financiero!$I$3</f>
        <v>3935.200695</v>
      </c>
      <c r="J36" s="80">
        <f>Financiero!$I$2*Financiero!$F$4</f>
        <v>10692.36037</v>
      </c>
      <c r="K36" s="80">
        <f>(Financiero!$D$13+Financiero!$D$14+Financiero!$D$15)/12</f>
        <v>683.175</v>
      </c>
      <c r="L36" s="79">
        <f t="shared" si="12"/>
        <v>3904.48969</v>
      </c>
      <c r="M36" s="80">
        <f t="shared" si="3"/>
        <v>740</v>
      </c>
      <c r="N36" s="80">
        <f t="shared" si="4"/>
        <v>4200</v>
      </c>
      <c r="O36" s="79">
        <f t="shared" si="8"/>
        <v>3236.590415</v>
      </c>
      <c r="P36" s="87">
        <f>(SUM(N17:N36)-SUM(O17:O36))*$B$5</f>
        <v>122.7555846</v>
      </c>
      <c r="Q36" s="79">
        <f t="shared" si="13"/>
        <v>1302.852945</v>
      </c>
      <c r="R36" s="80">
        <f t="shared" si="14"/>
        <v>455.9985308</v>
      </c>
      <c r="S36" s="79">
        <f t="shared" si="15"/>
        <v>846.8544143</v>
      </c>
      <c r="T36" s="79">
        <f t="shared" si="11"/>
        <v>1530.029414</v>
      </c>
      <c r="U36" s="7"/>
      <c r="X36" s="75">
        <v>20.0</v>
      </c>
      <c r="Y36" s="84">
        <f t="shared" si="5"/>
        <v>-57760.50825</v>
      </c>
    </row>
    <row r="37">
      <c r="A37" s="7"/>
      <c r="B37" s="78">
        <v>8.0</v>
      </c>
      <c r="C37" s="79">
        <f>Financiero!$B$4*Financiero!$F$4</f>
        <v>20000</v>
      </c>
      <c r="D37" s="79">
        <f t="shared" si="6"/>
        <v>73720.18107</v>
      </c>
      <c r="E37" s="80">
        <f t="shared" si="1"/>
        <v>766.6898831</v>
      </c>
      <c r="F37" s="80">
        <f t="shared" si="16"/>
        <v>1756.965524</v>
      </c>
      <c r="G37" s="90">
        <f t="shared" si="18"/>
        <v>2523.655407</v>
      </c>
      <c r="H37" s="80">
        <f t="shared" si="17"/>
        <v>71963.21554</v>
      </c>
      <c r="I37" s="80">
        <f>Financiero!$I$3</f>
        <v>3935.200695</v>
      </c>
      <c r="J37" s="80">
        <f>Financiero!$I$2*Financiero!$F$4</f>
        <v>10692.36037</v>
      </c>
      <c r="K37" s="80">
        <f>(Financiero!$D$13+Financiero!$D$14+Financiero!$D$15)/12</f>
        <v>683.175</v>
      </c>
      <c r="L37" s="79">
        <f t="shared" si="12"/>
        <v>3922.574054</v>
      </c>
      <c r="M37" s="80">
        <f t="shared" si="3"/>
        <v>740</v>
      </c>
      <c r="N37" s="80">
        <f t="shared" si="4"/>
        <v>4200</v>
      </c>
      <c r="O37" s="79">
        <f t="shared" si="8"/>
        <v>3232.792699</v>
      </c>
      <c r="P37" s="87">
        <f t="shared" ref="P37:P137" si="19">(N37-O37)*$B$5</f>
        <v>203.1135333</v>
      </c>
      <c r="Q37" s="79">
        <f t="shared" si="13"/>
        <v>1222.494996</v>
      </c>
      <c r="R37" s="80">
        <f t="shared" si="14"/>
        <v>427.8732487</v>
      </c>
      <c r="S37" s="79">
        <f t="shared" si="15"/>
        <v>794.6217476</v>
      </c>
      <c r="T37" s="79">
        <f t="shared" si="11"/>
        <v>1477.796748</v>
      </c>
      <c r="U37" s="7"/>
      <c r="X37" s="75">
        <v>21.0</v>
      </c>
      <c r="Y37" s="84">
        <f t="shared" si="5"/>
        <v>-56475.92306</v>
      </c>
    </row>
    <row r="38">
      <c r="A38" s="7"/>
      <c r="B38" s="78">
        <v>9.0</v>
      </c>
      <c r="C38" s="79">
        <f>Financiero!$B$4*Financiero!$F$4</f>
        <v>20000</v>
      </c>
      <c r="D38" s="79">
        <f t="shared" si="6"/>
        <v>71963.21554</v>
      </c>
      <c r="E38" s="80">
        <f t="shared" si="1"/>
        <v>748.4174416</v>
      </c>
      <c r="F38" s="80">
        <f t="shared" si="16"/>
        <v>1775.237966</v>
      </c>
      <c r="G38" s="90">
        <f t="shared" si="18"/>
        <v>2523.655407</v>
      </c>
      <c r="H38" s="80">
        <f t="shared" si="17"/>
        <v>70187.97758</v>
      </c>
      <c r="I38" s="80">
        <f>Financiero!$I$3</f>
        <v>3935.200695</v>
      </c>
      <c r="J38" s="80">
        <f>Financiero!$I$2*Financiero!$F$4</f>
        <v>10692.36037</v>
      </c>
      <c r="K38" s="80">
        <f>(Financiero!$D$13+Financiero!$D$14+Financiero!$D$15)/12</f>
        <v>683.175</v>
      </c>
      <c r="L38" s="79">
        <f t="shared" si="12"/>
        <v>3940.846495</v>
      </c>
      <c r="M38" s="80">
        <f t="shared" si="3"/>
        <v>740</v>
      </c>
      <c r="N38" s="80">
        <f t="shared" si="4"/>
        <v>4200</v>
      </c>
      <c r="O38" s="79">
        <f t="shared" si="8"/>
        <v>3228.955486</v>
      </c>
      <c r="P38" s="87">
        <f t="shared" si="19"/>
        <v>203.9193479</v>
      </c>
      <c r="Q38" s="79">
        <f t="shared" si="13"/>
        <v>1221.689182</v>
      </c>
      <c r="R38" s="80">
        <f t="shared" si="14"/>
        <v>427.5912136</v>
      </c>
      <c r="S38" s="79">
        <f t="shared" si="15"/>
        <v>794.0979681</v>
      </c>
      <c r="T38" s="79">
        <f t="shared" si="11"/>
        <v>1477.272968</v>
      </c>
      <c r="U38" s="7"/>
      <c r="X38" s="75">
        <v>22.0</v>
      </c>
      <c r="Y38" s="84">
        <f t="shared" si="5"/>
        <v>-55191.79807</v>
      </c>
    </row>
    <row r="39">
      <c r="A39" s="7"/>
      <c r="B39" s="78">
        <v>10.0</v>
      </c>
      <c r="C39" s="79">
        <f>Financiero!$B$4*Financiero!$F$4</f>
        <v>20000</v>
      </c>
      <c r="D39" s="79">
        <f t="shared" si="6"/>
        <v>70187.97758</v>
      </c>
      <c r="E39" s="80">
        <f t="shared" si="1"/>
        <v>729.9549668</v>
      </c>
      <c r="F39" s="80">
        <f t="shared" si="16"/>
        <v>1793.70044</v>
      </c>
      <c r="G39" s="90">
        <f t="shared" si="18"/>
        <v>2523.655407</v>
      </c>
      <c r="H39" s="80">
        <f t="shared" si="17"/>
        <v>68394.27714</v>
      </c>
      <c r="I39" s="80">
        <f>Financiero!$I$3</f>
        <v>3935.200695</v>
      </c>
      <c r="J39" s="80">
        <f>Financiero!$I$2*Financiero!$F$4</f>
        <v>10692.36037</v>
      </c>
      <c r="K39" s="80">
        <f>(Financiero!$D$13+Financiero!$D$14+Financiero!$D$15)/12</f>
        <v>683.175</v>
      </c>
      <c r="L39" s="79">
        <f t="shared" si="12"/>
        <v>3959.30897</v>
      </c>
      <c r="M39" s="80">
        <f t="shared" si="3"/>
        <v>740</v>
      </c>
      <c r="N39" s="80">
        <f t="shared" si="4"/>
        <v>4200</v>
      </c>
      <c r="O39" s="79">
        <f t="shared" si="8"/>
        <v>3225.078366</v>
      </c>
      <c r="P39" s="87">
        <f t="shared" si="19"/>
        <v>204.7335431</v>
      </c>
      <c r="Q39" s="79">
        <f t="shared" si="13"/>
        <v>1220.874987</v>
      </c>
      <c r="R39" s="80">
        <f t="shared" si="14"/>
        <v>427.3062453</v>
      </c>
      <c r="S39" s="79">
        <f t="shared" si="15"/>
        <v>793.5687413</v>
      </c>
      <c r="T39" s="79">
        <f t="shared" si="11"/>
        <v>1476.743741</v>
      </c>
      <c r="U39" s="7"/>
      <c r="X39" s="75">
        <v>23.0</v>
      </c>
      <c r="Y39" s="84">
        <f t="shared" si="5"/>
        <v>-53908.13806</v>
      </c>
    </row>
    <row r="40">
      <c r="A40" s="7"/>
      <c r="B40" s="78">
        <v>11.0</v>
      </c>
      <c r="C40" s="79">
        <f>Financiero!$B$4*Financiero!$F$4</f>
        <v>20000</v>
      </c>
      <c r="D40" s="79">
        <f t="shared" si="6"/>
        <v>68394.27714</v>
      </c>
      <c r="E40" s="80">
        <f t="shared" si="1"/>
        <v>711.3004822</v>
      </c>
      <c r="F40" s="80">
        <f t="shared" si="16"/>
        <v>1812.354925</v>
      </c>
      <c r="G40" s="90">
        <f t="shared" si="18"/>
        <v>2523.655407</v>
      </c>
      <c r="H40" s="80">
        <f t="shared" si="17"/>
        <v>66581.92221</v>
      </c>
      <c r="I40" s="80">
        <f>Financiero!$I$3</f>
        <v>3935.200695</v>
      </c>
      <c r="J40" s="80">
        <f>Financiero!$I$2*Financiero!$F$4</f>
        <v>10692.36037</v>
      </c>
      <c r="K40" s="80">
        <f>(Financiero!$D$13+Financiero!$D$14+Financiero!$D$15)/12</f>
        <v>683.175</v>
      </c>
      <c r="L40" s="79">
        <f t="shared" si="12"/>
        <v>3977.963455</v>
      </c>
      <c r="M40" s="80">
        <f t="shared" si="3"/>
        <v>740</v>
      </c>
      <c r="N40" s="80">
        <f t="shared" si="4"/>
        <v>4200</v>
      </c>
      <c r="O40" s="79">
        <f t="shared" si="8"/>
        <v>3221.160925</v>
      </c>
      <c r="P40" s="87">
        <f t="shared" si="19"/>
        <v>205.5562058</v>
      </c>
      <c r="Q40" s="79">
        <f t="shared" si="13"/>
        <v>1220.052324</v>
      </c>
      <c r="R40" s="80">
        <f t="shared" si="14"/>
        <v>427.0183133</v>
      </c>
      <c r="S40" s="79">
        <f t="shared" si="15"/>
        <v>793.0340105</v>
      </c>
      <c r="T40" s="79">
        <f t="shared" si="11"/>
        <v>1476.20901</v>
      </c>
      <c r="U40" s="7"/>
      <c r="X40" s="75">
        <v>24.0</v>
      </c>
      <c r="Y40" s="84">
        <f t="shared" si="5"/>
        <v>-52624.94787</v>
      </c>
    </row>
    <row r="41">
      <c r="A41" s="10"/>
      <c r="B41" s="78">
        <v>12.0</v>
      </c>
      <c r="C41" s="79">
        <f>Financiero!$B$4*Financiero!$F$4</f>
        <v>20000</v>
      </c>
      <c r="D41" s="79">
        <f t="shared" si="6"/>
        <v>66581.92221</v>
      </c>
      <c r="E41" s="80">
        <f t="shared" si="1"/>
        <v>692.451991</v>
      </c>
      <c r="F41" s="80">
        <f t="shared" si="16"/>
        <v>1831.203416</v>
      </c>
      <c r="G41" s="90">
        <f t="shared" si="18"/>
        <v>2523.655407</v>
      </c>
      <c r="H41" s="80">
        <f t="shared" si="17"/>
        <v>64750.71879</v>
      </c>
      <c r="I41" s="80">
        <f>Financiero!$I$3</f>
        <v>3935.200695</v>
      </c>
      <c r="J41" s="80">
        <f>Financiero!$I$2*Financiero!$F$4</f>
        <v>10692.36037</v>
      </c>
      <c r="K41" s="80">
        <f>(Financiero!$D$13+Financiero!$D$14+Financiero!$D$15)/12</f>
        <v>683.175</v>
      </c>
      <c r="L41" s="79">
        <f t="shared" si="12"/>
        <v>3996.811946</v>
      </c>
      <c r="M41" s="80">
        <f t="shared" si="3"/>
        <v>740</v>
      </c>
      <c r="N41" s="80">
        <f t="shared" si="4"/>
        <v>4200</v>
      </c>
      <c r="O41" s="79">
        <f t="shared" si="8"/>
        <v>3217.202741</v>
      </c>
      <c r="P41" s="87">
        <f t="shared" si="19"/>
        <v>206.3874243</v>
      </c>
      <c r="Q41" s="79">
        <f t="shared" si="13"/>
        <v>1219.221105</v>
      </c>
      <c r="R41" s="80">
        <f t="shared" si="14"/>
        <v>426.7273869</v>
      </c>
      <c r="S41" s="79">
        <f t="shared" si="15"/>
        <v>792.4937185</v>
      </c>
      <c r="T41" s="79">
        <f t="shared" si="11"/>
        <v>1475.668718</v>
      </c>
      <c r="U41" s="10"/>
      <c r="X41" s="75">
        <v>25.0</v>
      </c>
      <c r="Y41" s="84">
        <f t="shared" si="5"/>
        <v>-49058.94981</v>
      </c>
    </row>
    <row r="42">
      <c r="A42" s="85">
        <v>3.0</v>
      </c>
      <c r="B42" s="78">
        <v>1.0</v>
      </c>
      <c r="C42" s="79">
        <f>Financiero!$B$5*Financiero!$F$5</f>
        <v>26250</v>
      </c>
      <c r="D42" s="79">
        <f t="shared" si="6"/>
        <v>64750.71879</v>
      </c>
      <c r="E42" s="80">
        <f t="shared" si="1"/>
        <v>673.4074755</v>
      </c>
      <c r="F42" s="80">
        <f t="shared" si="16"/>
        <v>1850.247932</v>
      </c>
      <c r="G42" s="90">
        <f t="shared" si="18"/>
        <v>2523.655407</v>
      </c>
      <c r="H42" s="80">
        <f t="shared" si="17"/>
        <v>62900.47086</v>
      </c>
      <c r="I42" s="80">
        <f>Financiero!$I$3</f>
        <v>3935.200695</v>
      </c>
      <c r="J42" s="80">
        <f>Financiero!$I$2*Financiero!$F$5</f>
        <v>12474.42043</v>
      </c>
      <c r="K42" s="80">
        <f>(Financiero!$D$13+Financiero!$D$14+Financiero!$D$15)/12</f>
        <v>683.175</v>
      </c>
      <c r="L42" s="79">
        <f t="shared" si="12"/>
        <v>8483.7964</v>
      </c>
      <c r="M42" s="80">
        <f t="shared" si="3"/>
        <v>971.25</v>
      </c>
      <c r="N42" s="80">
        <f t="shared" si="4"/>
        <v>5512.5</v>
      </c>
      <c r="O42" s="79">
        <f t="shared" si="8"/>
        <v>3587.436006</v>
      </c>
      <c r="P42" s="87">
        <f t="shared" si="19"/>
        <v>404.2634387</v>
      </c>
      <c r="Q42" s="79">
        <f t="shared" si="13"/>
        <v>5258.03503</v>
      </c>
      <c r="R42" s="80">
        <f t="shared" si="14"/>
        <v>1840.31226</v>
      </c>
      <c r="S42" s="79">
        <f t="shared" si="15"/>
        <v>3417.722769</v>
      </c>
      <c r="T42" s="79">
        <f t="shared" si="11"/>
        <v>4100.897769</v>
      </c>
      <c r="U42" s="86">
        <f>SUM(T42:T53)</f>
        <v>49173.07632</v>
      </c>
      <c r="X42" s="75">
        <v>26.0</v>
      </c>
      <c r="Y42" s="84">
        <f t="shared" si="5"/>
        <v>-45493.43139</v>
      </c>
    </row>
    <row r="43">
      <c r="A43" s="7"/>
      <c r="B43" s="78">
        <v>2.0</v>
      </c>
      <c r="C43" s="79">
        <f>Financiero!$B$5*Financiero!$F$5</f>
        <v>26250</v>
      </c>
      <c r="D43" s="79">
        <f t="shared" si="6"/>
        <v>62900.47086</v>
      </c>
      <c r="E43" s="80">
        <f t="shared" si="1"/>
        <v>654.164897</v>
      </c>
      <c r="F43" s="80">
        <f t="shared" si="16"/>
        <v>1869.49051</v>
      </c>
      <c r="G43" s="90">
        <f t="shared" si="18"/>
        <v>2523.655407</v>
      </c>
      <c r="H43" s="80">
        <f t="shared" si="17"/>
        <v>61030.98035</v>
      </c>
      <c r="I43" s="80">
        <f>Financiero!$I$3</f>
        <v>3935.200695</v>
      </c>
      <c r="J43" s="80">
        <f>Financiero!$I$2*Financiero!$F$5</f>
        <v>12474.42043</v>
      </c>
      <c r="K43" s="80">
        <f>(Financiero!$D$13+Financiero!$D$14+Financiero!$D$15)/12</f>
        <v>683.175</v>
      </c>
      <c r="L43" s="79">
        <f t="shared" si="12"/>
        <v>8503.038978</v>
      </c>
      <c r="M43" s="80">
        <f t="shared" si="3"/>
        <v>971.25</v>
      </c>
      <c r="N43" s="80">
        <f t="shared" si="4"/>
        <v>5512.5</v>
      </c>
      <c r="O43" s="79">
        <f t="shared" si="8"/>
        <v>3583.395065</v>
      </c>
      <c r="P43" s="87">
        <f t="shared" si="19"/>
        <v>405.1120365</v>
      </c>
      <c r="Q43" s="79">
        <f t="shared" si="13"/>
        <v>5257.186432</v>
      </c>
      <c r="R43" s="80">
        <f t="shared" si="14"/>
        <v>1840.015251</v>
      </c>
      <c r="S43" s="79">
        <f t="shared" si="15"/>
        <v>3417.171181</v>
      </c>
      <c r="T43" s="79">
        <f t="shared" si="11"/>
        <v>4100.346181</v>
      </c>
      <c r="U43" s="7"/>
      <c r="X43" s="75">
        <v>27.0</v>
      </c>
      <c r="Y43" s="84">
        <f t="shared" si="5"/>
        <v>-41928.3976</v>
      </c>
    </row>
    <row r="44">
      <c r="A44" s="7"/>
      <c r="B44" s="78">
        <v>3.0</v>
      </c>
      <c r="C44" s="79">
        <f>Financiero!$B$5*Financiero!$F$5</f>
        <v>26250</v>
      </c>
      <c r="D44" s="79">
        <f t="shared" si="6"/>
        <v>61030.98035</v>
      </c>
      <c r="E44" s="80">
        <f t="shared" si="1"/>
        <v>634.7221957</v>
      </c>
      <c r="F44" s="80">
        <f t="shared" si="16"/>
        <v>1888.933212</v>
      </c>
      <c r="G44" s="90">
        <f t="shared" si="18"/>
        <v>2523.655407</v>
      </c>
      <c r="H44" s="80">
        <f t="shared" si="17"/>
        <v>59142.04714</v>
      </c>
      <c r="I44" s="80">
        <f>Financiero!$I$3</f>
        <v>3935.200695</v>
      </c>
      <c r="J44" s="80">
        <f>Financiero!$I$2*Financiero!$F$5</f>
        <v>12474.42043</v>
      </c>
      <c r="K44" s="80">
        <f>(Financiero!$D$13+Financiero!$D$14+Financiero!$D$15)/12</f>
        <v>683.175</v>
      </c>
      <c r="L44" s="79">
        <f t="shared" si="12"/>
        <v>8522.48168</v>
      </c>
      <c r="M44" s="80">
        <f t="shared" si="3"/>
        <v>971.25</v>
      </c>
      <c r="N44" s="80">
        <f t="shared" si="4"/>
        <v>5512.5</v>
      </c>
      <c r="O44" s="79">
        <f t="shared" si="8"/>
        <v>3579.312097</v>
      </c>
      <c r="P44" s="87">
        <f t="shared" si="19"/>
        <v>405.9694596</v>
      </c>
      <c r="Q44" s="79">
        <f t="shared" si="13"/>
        <v>5256.329009</v>
      </c>
      <c r="R44" s="80">
        <f t="shared" si="14"/>
        <v>1839.715153</v>
      </c>
      <c r="S44" s="79">
        <f t="shared" si="15"/>
        <v>3416.613856</v>
      </c>
      <c r="T44" s="79">
        <f t="shared" si="11"/>
        <v>4099.788856</v>
      </c>
      <c r="U44" s="7"/>
      <c r="X44" s="75">
        <v>28.0</v>
      </c>
      <c r="Y44" s="84">
        <f t="shared" si="5"/>
        <v>-38363.85349</v>
      </c>
    </row>
    <row r="45">
      <c r="A45" s="7"/>
      <c r="B45" s="78">
        <v>4.0</v>
      </c>
      <c r="C45" s="79">
        <f>Financiero!$B$5*Financiero!$F$5</f>
        <v>26250</v>
      </c>
      <c r="D45" s="79">
        <f t="shared" si="6"/>
        <v>59142.04714</v>
      </c>
      <c r="E45" s="80">
        <f t="shared" si="1"/>
        <v>615.0772903</v>
      </c>
      <c r="F45" s="80">
        <f t="shared" si="16"/>
        <v>1908.578117</v>
      </c>
      <c r="G45" s="90">
        <f t="shared" si="18"/>
        <v>2523.655407</v>
      </c>
      <c r="H45" s="80">
        <f t="shared" si="17"/>
        <v>57233.46902</v>
      </c>
      <c r="I45" s="80">
        <f>Financiero!$I$3</f>
        <v>3935.200695</v>
      </c>
      <c r="J45" s="80">
        <f>Financiero!$I$2*Financiero!$F$5</f>
        <v>12474.42043</v>
      </c>
      <c r="K45" s="80">
        <f>(Financiero!$D$13+Financiero!$D$14+Financiero!$D$15)/12</f>
        <v>683.175</v>
      </c>
      <c r="L45" s="79">
        <f t="shared" si="12"/>
        <v>8542.126585</v>
      </c>
      <c r="M45" s="80">
        <f t="shared" si="3"/>
        <v>971.25</v>
      </c>
      <c r="N45" s="80">
        <f t="shared" si="4"/>
        <v>5512.5</v>
      </c>
      <c r="O45" s="79">
        <f t="shared" si="8"/>
        <v>3575.186667</v>
      </c>
      <c r="P45" s="87">
        <f t="shared" si="19"/>
        <v>406.8357999</v>
      </c>
      <c r="Q45" s="79">
        <f t="shared" si="13"/>
        <v>5255.462668</v>
      </c>
      <c r="R45" s="80">
        <f t="shared" si="14"/>
        <v>1839.411934</v>
      </c>
      <c r="S45" s="79">
        <f t="shared" si="15"/>
        <v>3416.050734</v>
      </c>
      <c r="T45" s="79">
        <f t="shared" si="11"/>
        <v>4099.225734</v>
      </c>
      <c r="U45" s="7"/>
      <c r="X45" s="75">
        <v>29.0</v>
      </c>
      <c r="Y45" s="84">
        <f t="shared" si="5"/>
        <v>-34799.80413</v>
      </c>
    </row>
    <row r="46">
      <c r="A46" s="7"/>
      <c r="B46" s="78">
        <v>5.0</v>
      </c>
      <c r="C46" s="79">
        <f>Financiero!$B$5*Financiero!$F$5</f>
        <v>26250</v>
      </c>
      <c r="D46" s="79">
        <f t="shared" si="6"/>
        <v>57233.46902</v>
      </c>
      <c r="E46" s="80">
        <f t="shared" si="1"/>
        <v>595.2280778</v>
      </c>
      <c r="F46" s="80">
        <f t="shared" si="16"/>
        <v>1928.427329</v>
      </c>
      <c r="G46" s="90">
        <f t="shared" si="18"/>
        <v>2523.655407</v>
      </c>
      <c r="H46" s="80">
        <f t="shared" si="17"/>
        <v>55305.04169</v>
      </c>
      <c r="I46" s="80">
        <f>Financiero!$I$3</f>
        <v>3935.200695</v>
      </c>
      <c r="J46" s="80">
        <f>Financiero!$I$2*Financiero!$F$5</f>
        <v>12474.42043</v>
      </c>
      <c r="K46" s="80">
        <f>(Financiero!$D$13+Financiero!$D$14+Financiero!$D$15)/12</f>
        <v>683.175</v>
      </c>
      <c r="L46" s="79">
        <f t="shared" si="12"/>
        <v>8561.975798</v>
      </c>
      <c r="M46" s="80">
        <f t="shared" si="3"/>
        <v>971.25</v>
      </c>
      <c r="N46" s="80">
        <f t="shared" si="4"/>
        <v>5512.5</v>
      </c>
      <c r="O46" s="79">
        <f t="shared" si="8"/>
        <v>3571.018333</v>
      </c>
      <c r="P46" s="87">
        <f t="shared" si="19"/>
        <v>407.7111502</v>
      </c>
      <c r="Q46" s="79">
        <f t="shared" si="13"/>
        <v>5254.587318</v>
      </c>
      <c r="R46" s="80">
        <f t="shared" si="14"/>
        <v>1839.105561</v>
      </c>
      <c r="S46" s="79">
        <f t="shared" si="15"/>
        <v>3415.481757</v>
      </c>
      <c r="T46" s="79">
        <f t="shared" si="11"/>
        <v>4098.656757</v>
      </c>
      <c r="U46" s="7"/>
      <c r="X46" s="75">
        <v>30.0</v>
      </c>
      <c r="Y46" s="84">
        <f t="shared" si="5"/>
        <v>-31236.25469</v>
      </c>
    </row>
    <row r="47">
      <c r="A47" s="7"/>
      <c r="B47" s="78">
        <v>6.0</v>
      </c>
      <c r="C47" s="79">
        <f>Financiero!$B$5*Financiero!$F$5</f>
        <v>26250</v>
      </c>
      <c r="D47" s="79">
        <f t="shared" si="6"/>
        <v>55305.04169</v>
      </c>
      <c r="E47" s="80">
        <f t="shared" si="1"/>
        <v>575.1724336</v>
      </c>
      <c r="F47" s="80">
        <f t="shared" si="16"/>
        <v>1948.482974</v>
      </c>
      <c r="G47" s="90">
        <f t="shared" si="18"/>
        <v>2523.655407</v>
      </c>
      <c r="H47" s="80">
        <f t="shared" si="17"/>
        <v>53356.55872</v>
      </c>
      <c r="I47" s="80">
        <f>Financiero!$I$3</f>
        <v>3935.200695</v>
      </c>
      <c r="J47" s="80">
        <f>Financiero!$I$2*Financiero!$F$5</f>
        <v>12474.42043</v>
      </c>
      <c r="K47" s="80">
        <f>(Financiero!$D$13+Financiero!$D$14+Financiero!$D$15)/12</f>
        <v>683.175</v>
      </c>
      <c r="L47" s="79">
        <f t="shared" si="12"/>
        <v>8582.031442</v>
      </c>
      <c r="M47" s="80">
        <f t="shared" si="3"/>
        <v>971.25</v>
      </c>
      <c r="N47" s="80">
        <f t="shared" si="4"/>
        <v>5512.5</v>
      </c>
      <c r="O47" s="79">
        <f t="shared" si="8"/>
        <v>3566.806647</v>
      </c>
      <c r="P47" s="87">
        <f t="shared" si="19"/>
        <v>408.5956041</v>
      </c>
      <c r="Q47" s="79">
        <f t="shared" si="13"/>
        <v>5253.702864</v>
      </c>
      <c r="R47" s="80">
        <f t="shared" si="14"/>
        <v>1838.796002</v>
      </c>
      <c r="S47" s="79">
        <f t="shared" si="15"/>
        <v>3414.906862</v>
      </c>
      <c r="T47" s="79">
        <f t="shared" si="11"/>
        <v>4098.081862</v>
      </c>
      <c r="U47" s="7"/>
      <c r="X47" s="75">
        <v>31.0</v>
      </c>
      <c r="Y47" s="84">
        <f t="shared" si="5"/>
        <v>-27673.21035</v>
      </c>
    </row>
    <row r="48">
      <c r="A48" s="7"/>
      <c r="B48" s="78">
        <v>7.0</v>
      </c>
      <c r="C48" s="79">
        <f>Financiero!$B$5*Financiero!$F$5</f>
        <v>26250</v>
      </c>
      <c r="D48" s="79">
        <f t="shared" si="6"/>
        <v>53356.55872</v>
      </c>
      <c r="E48" s="80">
        <f t="shared" si="1"/>
        <v>554.9082107</v>
      </c>
      <c r="F48" s="80">
        <f t="shared" si="16"/>
        <v>1968.747197</v>
      </c>
      <c r="G48" s="90">
        <f t="shared" si="18"/>
        <v>2523.655407</v>
      </c>
      <c r="H48" s="80">
        <f t="shared" si="17"/>
        <v>51387.81152</v>
      </c>
      <c r="I48" s="80">
        <f>Financiero!$I$3</f>
        <v>3935.200695</v>
      </c>
      <c r="J48" s="80">
        <f>Financiero!$I$2*Financiero!$F$5</f>
        <v>12474.42043</v>
      </c>
      <c r="K48" s="80">
        <f>(Financiero!$D$13+Financiero!$D$14+Financiero!$D$15)/12</f>
        <v>683.175</v>
      </c>
      <c r="L48" s="79">
        <f t="shared" si="12"/>
        <v>8602.295665</v>
      </c>
      <c r="M48" s="80">
        <f t="shared" si="3"/>
        <v>971.25</v>
      </c>
      <c r="N48" s="80">
        <f t="shared" si="4"/>
        <v>5512.5</v>
      </c>
      <c r="O48" s="79">
        <f t="shared" si="8"/>
        <v>3562.55116</v>
      </c>
      <c r="P48" s="87">
        <f t="shared" si="19"/>
        <v>409.4892563</v>
      </c>
      <c r="Q48" s="79">
        <f t="shared" si="13"/>
        <v>5252.809212</v>
      </c>
      <c r="R48" s="80">
        <f t="shared" si="14"/>
        <v>1838.483224</v>
      </c>
      <c r="S48" s="79">
        <f t="shared" si="15"/>
        <v>3414.325988</v>
      </c>
      <c r="T48" s="79">
        <f t="shared" si="11"/>
        <v>4097.500988</v>
      </c>
      <c r="U48" s="7"/>
      <c r="X48" s="75">
        <v>32.0</v>
      </c>
      <c r="Y48" s="84">
        <f t="shared" si="5"/>
        <v>-24110.67638</v>
      </c>
    </row>
    <row r="49">
      <c r="A49" s="7"/>
      <c r="B49" s="78">
        <v>8.0</v>
      </c>
      <c r="C49" s="79">
        <f>Financiero!$B$5*Financiero!$F$5</f>
        <v>26250</v>
      </c>
      <c r="D49" s="79">
        <f t="shared" si="6"/>
        <v>51387.81152</v>
      </c>
      <c r="E49" s="80">
        <f t="shared" si="1"/>
        <v>534.4332399</v>
      </c>
      <c r="F49" s="80">
        <f t="shared" si="16"/>
        <v>1989.222167</v>
      </c>
      <c r="G49" s="90">
        <f t="shared" si="18"/>
        <v>2523.655407</v>
      </c>
      <c r="H49" s="80">
        <f t="shared" si="17"/>
        <v>49398.58936</v>
      </c>
      <c r="I49" s="80">
        <f>Financiero!$I$3</f>
        <v>3935.200695</v>
      </c>
      <c r="J49" s="80">
        <f>Financiero!$I$2*Financiero!$F$5</f>
        <v>12474.42043</v>
      </c>
      <c r="K49" s="80">
        <f>(Financiero!$D$13+Financiero!$D$14+Financiero!$D$15)/12</f>
        <v>683.175</v>
      </c>
      <c r="L49" s="79">
        <f t="shared" si="12"/>
        <v>8622.770636</v>
      </c>
      <c r="M49" s="80">
        <f t="shared" si="3"/>
        <v>971.25</v>
      </c>
      <c r="N49" s="80">
        <f t="shared" si="4"/>
        <v>5512.5</v>
      </c>
      <c r="O49" s="79">
        <f t="shared" si="8"/>
        <v>3558.251417</v>
      </c>
      <c r="P49" s="87">
        <f t="shared" si="19"/>
        <v>410.3922025</v>
      </c>
      <c r="Q49" s="79">
        <f t="shared" si="13"/>
        <v>5251.906266</v>
      </c>
      <c r="R49" s="80">
        <f t="shared" si="14"/>
        <v>1838.167193</v>
      </c>
      <c r="S49" s="79">
        <f t="shared" si="15"/>
        <v>3413.739073</v>
      </c>
      <c r="T49" s="79">
        <f t="shared" si="11"/>
        <v>4096.914073</v>
      </c>
      <c r="U49" s="7"/>
      <c r="X49" s="75">
        <v>33.0</v>
      </c>
      <c r="Y49" s="84">
        <f t="shared" si="5"/>
        <v>-20548.65807</v>
      </c>
    </row>
    <row r="50">
      <c r="A50" s="7"/>
      <c r="B50" s="78">
        <v>9.0</v>
      </c>
      <c r="C50" s="79">
        <f>Financiero!$B$5*Financiero!$F$5</f>
        <v>26250</v>
      </c>
      <c r="D50" s="79">
        <f t="shared" si="6"/>
        <v>49398.58936</v>
      </c>
      <c r="E50" s="80">
        <f t="shared" si="1"/>
        <v>513.7453293</v>
      </c>
      <c r="F50" s="80">
        <f t="shared" si="16"/>
        <v>2009.910078</v>
      </c>
      <c r="G50" s="90">
        <f t="shared" si="18"/>
        <v>2523.655407</v>
      </c>
      <c r="H50" s="80">
        <f t="shared" si="17"/>
        <v>47388.67928</v>
      </c>
      <c r="I50" s="80">
        <f>Financiero!$I$3</f>
        <v>3935.200695</v>
      </c>
      <c r="J50" s="80">
        <f>Financiero!$I$2*Financiero!$F$5</f>
        <v>12474.42043</v>
      </c>
      <c r="K50" s="80">
        <f>(Financiero!$D$13+Financiero!$D$14+Financiero!$D$15)/12</f>
        <v>683.175</v>
      </c>
      <c r="L50" s="79">
        <f t="shared" si="12"/>
        <v>8643.458546</v>
      </c>
      <c r="M50" s="80">
        <f t="shared" si="3"/>
        <v>971.25</v>
      </c>
      <c r="N50" s="80">
        <f t="shared" si="4"/>
        <v>5512.5</v>
      </c>
      <c r="O50" s="79">
        <f t="shared" si="8"/>
        <v>3553.906955</v>
      </c>
      <c r="P50" s="87">
        <f t="shared" si="19"/>
        <v>411.3045394</v>
      </c>
      <c r="Q50" s="79">
        <f t="shared" si="13"/>
        <v>5250.993929</v>
      </c>
      <c r="R50" s="80">
        <f t="shared" si="14"/>
        <v>1837.847875</v>
      </c>
      <c r="S50" s="79">
        <f t="shared" si="15"/>
        <v>3413.146054</v>
      </c>
      <c r="T50" s="79">
        <f t="shared" si="11"/>
        <v>4096.321054</v>
      </c>
      <c r="U50" s="7"/>
      <c r="X50" s="75">
        <v>34.0</v>
      </c>
      <c r="Y50" s="84">
        <f t="shared" si="5"/>
        <v>-16987.16079</v>
      </c>
    </row>
    <row r="51">
      <c r="A51" s="7"/>
      <c r="B51" s="78">
        <v>10.0</v>
      </c>
      <c r="C51" s="79">
        <f>Financiero!$B$5*Financiero!$F$5</f>
        <v>26250</v>
      </c>
      <c r="D51" s="79">
        <f t="shared" si="6"/>
        <v>47388.67928</v>
      </c>
      <c r="E51" s="80">
        <f t="shared" si="1"/>
        <v>492.8422645</v>
      </c>
      <c r="F51" s="80">
        <f t="shared" si="16"/>
        <v>2030.813143</v>
      </c>
      <c r="G51" s="90">
        <f t="shared" si="18"/>
        <v>2523.655407</v>
      </c>
      <c r="H51" s="80">
        <f t="shared" si="17"/>
        <v>45357.86614</v>
      </c>
      <c r="I51" s="80">
        <f>Financiero!$I$3</f>
        <v>3935.200695</v>
      </c>
      <c r="J51" s="80">
        <f>Financiero!$I$2*Financiero!$F$5</f>
        <v>12474.42043</v>
      </c>
      <c r="K51" s="80">
        <f>(Financiero!$D$13+Financiero!$D$14+Financiero!$D$15)/12</f>
        <v>683.175</v>
      </c>
      <c r="L51" s="79">
        <f t="shared" si="12"/>
        <v>8664.361611</v>
      </c>
      <c r="M51" s="80">
        <f t="shared" si="3"/>
        <v>971.25</v>
      </c>
      <c r="N51" s="80">
        <f t="shared" si="4"/>
        <v>5512.5</v>
      </c>
      <c r="O51" s="79">
        <f t="shared" si="8"/>
        <v>3549.517312</v>
      </c>
      <c r="P51" s="87">
        <f t="shared" si="19"/>
        <v>412.2263645</v>
      </c>
      <c r="Q51" s="79">
        <f t="shared" si="13"/>
        <v>5250.072104</v>
      </c>
      <c r="R51" s="80">
        <f t="shared" si="14"/>
        <v>1837.525236</v>
      </c>
      <c r="S51" s="79">
        <f t="shared" si="15"/>
        <v>3412.546867</v>
      </c>
      <c r="T51" s="79">
        <f t="shared" si="11"/>
        <v>4095.721867</v>
      </c>
      <c r="U51" s="7"/>
      <c r="X51" s="75">
        <v>35.0</v>
      </c>
      <c r="Y51" s="84">
        <f t="shared" si="5"/>
        <v>-13426.18997</v>
      </c>
    </row>
    <row r="52">
      <c r="A52" s="7"/>
      <c r="B52" s="78">
        <v>11.0</v>
      </c>
      <c r="C52" s="79">
        <f>Financiero!$B$5*Financiero!$F$5</f>
        <v>26250</v>
      </c>
      <c r="D52" s="79">
        <f t="shared" si="6"/>
        <v>45357.86614</v>
      </c>
      <c r="E52" s="80">
        <f t="shared" si="1"/>
        <v>471.7218078</v>
      </c>
      <c r="F52" s="80">
        <f t="shared" si="16"/>
        <v>2051.933599</v>
      </c>
      <c r="G52" s="90">
        <f t="shared" si="18"/>
        <v>2523.655407</v>
      </c>
      <c r="H52" s="80">
        <f t="shared" si="17"/>
        <v>43305.93254</v>
      </c>
      <c r="I52" s="80">
        <f>Financiero!$I$3</f>
        <v>3935.200695</v>
      </c>
      <c r="J52" s="80">
        <f>Financiero!$I$2*Financiero!$F$5</f>
        <v>12474.42043</v>
      </c>
      <c r="K52" s="80">
        <f>(Financiero!$D$13+Financiero!$D$14+Financiero!$D$15)/12</f>
        <v>683.175</v>
      </c>
      <c r="L52" s="79">
        <f t="shared" si="12"/>
        <v>8685.482068</v>
      </c>
      <c r="M52" s="80">
        <f t="shared" si="3"/>
        <v>971.25</v>
      </c>
      <c r="N52" s="80">
        <f t="shared" si="4"/>
        <v>5512.5</v>
      </c>
      <c r="O52" s="79">
        <f t="shared" si="8"/>
        <v>3545.082016</v>
      </c>
      <c r="P52" s="87">
        <f t="shared" si="19"/>
        <v>413.1577767</v>
      </c>
      <c r="Q52" s="79">
        <f t="shared" si="13"/>
        <v>5249.140692</v>
      </c>
      <c r="R52" s="80">
        <f t="shared" si="14"/>
        <v>1837.199242</v>
      </c>
      <c r="S52" s="79">
        <f t="shared" si="15"/>
        <v>3411.94145</v>
      </c>
      <c r="T52" s="79">
        <f t="shared" si="11"/>
        <v>4095.11645</v>
      </c>
      <c r="U52" s="7"/>
      <c r="X52" s="75">
        <v>36.0</v>
      </c>
      <c r="Y52" s="84">
        <f t="shared" si="5"/>
        <v>-9865.751066</v>
      </c>
    </row>
    <row r="53">
      <c r="A53" s="10"/>
      <c r="B53" s="78">
        <v>12.0</v>
      </c>
      <c r="C53" s="79">
        <f>Financiero!$B$5*Financiero!$F$5</f>
        <v>26250</v>
      </c>
      <c r="D53" s="79">
        <f t="shared" si="6"/>
        <v>43305.93254</v>
      </c>
      <c r="E53" s="80">
        <f t="shared" si="1"/>
        <v>450.3816984</v>
      </c>
      <c r="F53" s="80">
        <f t="shared" si="16"/>
        <v>2073.273709</v>
      </c>
      <c r="G53" s="90">
        <f t="shared" si="18"/>
        <v>2523.655407</v>
      </c>
      <c r="H53" s="80">
        <f t="shared" si="17"/>
        <v>41232.65883</v>
      </c>
      <c r="I53" s="80">
        <f>Financiero!$I$3</f>
        <v>3935.200695</v>
      </c>
      <c r="J53" s="80">
        <f>Financiero!$I$2*Financiero!$F$5</f>
        <v>12474.42043</v>
      </c>
      <c r="K53" s="80">
        <f>(Financiero!$D$13+Financiero!$D$14+Financiero!$D$15)/12</f>
        <v>683.175</v>
      </c>
      <c r="L53" s="79">
        <f t="shared" si="12"/>
        <v>8706.822177</v>
      </c>
      <c r="M53" s="80">
        <f t="shared" si="3"/>
        <v>971.25</v>
      </c>
      <c r="N53" s="80">
        <f t="shared" si="4"/>
        <v>5512.5</v>
      </c>
      <c r="O53" s="79">
        <f t="shared" si="8"/>
        <v>3540.600593</v>
      </c>
      <c r="P53" s="87">
        <f t="shared" si="19"/>
        <v>414.0988755</v>
      </c>
      <c r="Q53" s="79">
        <f t="shared" si="13"/>
        <v>5248.199593</v>
      </c>
      <c r="R53" s="80">
        <f t="shared" si="14"/>
        <v>1836.869857</v>
      </c>
      <c r="S53" s="79">
        <f t="shared" si="15"/>
        <v>3411.329735</v>
      </c>
      <c r="T53" s="79">
        <f t="shared" si="11"/>
        <v>4094.504735</v>
      </c>
      <c r="U53" s="10"/>
      <c r="X53" s="75">
        <v>37.0</v>
      </c>
      <c r="Y53" s="84">
        <f t="shared" si="5"/>
        <v>-4828.594238</v>
      </c>
    </row>
    <row r="54">
      <c r="A54" s="85">
        <v>4.0</v>
      </c>
      <c r="B54" s="78">
        <v>1.0</v>
      </c>
      <c r="C54" s="79">
        <f>Financiero!$B$6*Financiero!$F$6</f>
        <v>31875</v>
      </c>
      <c r="D54" s="79">
        <f t="shared" si="6"/>
        <v>41232.65883</v>
      </c>
      <c r="E54" s="80">
        <f t="shared" si="1"/>
        <v>428.8196518</v>
      </c>
      <c r="F54" s="80">
        <f t="shared" si="16"/>
        <v>2094.835755</v>
      </c>
      <c r="G54" s="90">
        <f t="shared" si="18"/>
        <v>2523.655407</v>
      </c>
      <c r="H54" s="80">
        <f t="shared" si="17"/>
        <v>39137.82307</v>
      </c>
      <c r="I54" s="80">
        <f>Financiero!$I$3</f>
        <v>3935.200695</v>
      </c>
      <c r="J54" s="80">
        <f>Financiero!$I$2*Financiero!$F$6</f>
        <v>15147.51052</v>
      </c>
      <c r="K54" s="80">
        <f>(Financiero!$D$13+Financiero!$D$14+Financiero!$D$15)/12</f>
        <v>683.175</v>
      </c>
      <c r="L54" s="79">
        <f t="shared" si="12"/>
        <v>11680.29413</v>
      </c>
      <c r="M54" s="80">
        <f t="shared" si="3"/>
        <v>1179.375</v>
      </c>
      <c r="N54" s="80">
        <f t="shared" si="4"/>
        <v>6693.75</v>
      </c>
      <c r="O54" s="79">
        <f t="shared" si="8"/>
        <v>4097.421482</v>
      </c>
      <c r="P54" s="87">
        <f t="shared" si="19"/>
        <v>545.2289887</v>
      </c>
      <c r="Q54" s="79">
        <f t="shared" si="13"/>
        <v>7860.854387</v>
      </c>
      <c r="R54" s="80">
        <f t="shared" si="14"/>
        <v>2751.299036</v>
      </c>
      <c r="S54" s="79">
        <f t="shared" si="15"/>
        <v>5109.555352</v>
      </c>
      <c r="T54" s="79">
        <f t="shared" si="11"/>
        <v>5792.730352</v>
      </c>
      <c r="U54" s="86">
        <f>SUM(T54:T65)</f>
        <v>69470.08409</v>
      </c>
      <c r="X54" s="75">
        <v>38.0</v>
      </c>
      <c r="Y54" s="84">
        <f t="shared" si="5"/>
        <v>208.0195426</v>
      </c>
    </row>
    <row r="55">
      <c r="A55" s="7"/>
      <c r="B55" s="78">
        <v>2.0</v>
      </c>
      <c r="C55" s="79">
        <f>Financiero!$B$6*Financiero!$F$6</f>
        <v>31875</v>
      </c>
      <c r="D55" s="79">
        <f t="shared" si="6"/>
        <v>39137.82307</v>
      </c>
      <c r="E55" s="80">
        <f t="shared" si="1"/>
        <v>407.03336</v>
      </c>
      <c r="F55" s="80">
        <f t="shared" si="16"/>
        <v>2116.622047</v>
      </c>
      <c r="G55" s="90">
        <f t="shared" si="18"/>
        <v>2523.655407</v>
      </c>
      <c r="H55" s="80">
        <f t="shared" si="17"/>
        <v>37021.20103</v>
      </c>
      <c r="I55" s="80">
        <f>Financiero!$I$3</f>
        <v>3935.200695</v>
      </c>
      <c r="J55" s="80">
        <f>Financiero!$I$2*Financiero!$F$6</f>
        <v>15147.51052</v>
      </c>
      <c r="K55" s="80">
        <f>(Financiero!$D$13+Financiero!$D$14+Financiero!$D$15)/12</f>
        <v>683.175</v>
      </c>
      <c r="L55" s="79">
        <f t="shared" si="12"/>
        <v>11702.08042</v>
      </c>
      <c r="M55" s="80">
        <f t="shared" si="3"/>
        <v>1179.375</v>
      </c>
      <c r="N55" s="80">
        <f t="shared" si="4"/>
        <v>6693.75</v>
      </c>
      <c r="O55" s="79">
        <f t="shared" si="8"/>
        <v>4092.846361</v>
      </c>
      <c r="P55" s="87">
        <f t="shared" si="19"/>
        <v>546.1897642</v>
      </c>
      <c r="Q55" s="79">
        <f t="shared" si="13"/>
        <v>7859.893612</v>
      </c>
      <c r="R55" s="80">
        <f t="shared" si="14"/>
        <v>2750.962764</v>
      </c>
      <c r="S55" s="79">
        <f t="shared" si="15"/>
        <v>5108.930848</v>
      </c>
      <c r="T55" s="79">
        <f t="shared" si="11"/>
        <v>5792.105848</v>
      </c>
      <c r="U55" s="7"/>
      <c r="X55" s="75">
        <v>39.0</v>
      </c>
      <c r="Y55" s="84">
        <f t="shared" si="5"/>
        <v>5244.084629</v>
      </c>
    </row>
    <row r="56">
      <c r="A56" s="7"/>
      <c r="B56" s="78">
        <v>3.0</v>
      </c>
      <c r="C56" s="79">
        <f>Financiero!$B$6*Financiero!$F$6</f>
        <v>31875</v>
      </c>
      <c r="D56" s="79">
        <f t="shared" si="6"/>
        <v>37021.20103</v>
      </c>
      <c r="E56" s="80">
        <f t="shared" si="1"/>
        <v>385.0204907</v>
      </c>
      <c r="F56" s="80">
        <f t="shared" si="16"/>
        <v>2138.634917</v>
      </c>
      <c r="G56" s="90">
        <f t="shared" si="18"/>
        <v>2523.655407</v>
      </c>
      <c r="H56" s="80">
        <f t="shared" si="17"/>
        <v>34882.56611</v>
      </c>
      <c r="I56" s="80">
        <f>Financiero!$I$3</f>
        <v>3935.200695</v>
      </c>
      <c r="J56" s="80">
        <f>Financiero!$I$2*Financiero!$F$6</f>
        <v>15147.51052</v>
      </c>
      <c r="K56" s="80">
        <f>(Financiero!$D$13+Financiero!$D$14+Financiero!$D$15)/12</f>
        <v>683.175</v>
      </c>
      <c r="L56" s="79">
        <f t="shared" si="12"/>
        <v>11724.09329</v>
      </c>
      <c r="M56" s="80">
        <f t="shared" si="3"/>
        <v>1179.375</v>
      </c>
      <c r="N56" s="80">
        <f t="shared" si="4"/>
        <v>6693.75</v>
      </c>
      <c r="O56" s="79">
        <f t="shared" si="8"/>
        <v>4088.223659</v>
      </c>
      <c r="P56" s="87">
        <f t="shared" si="19"/>
        <v>547.1605317</v>
      </c>
      <c r="Q56" s="79">
        <f t="shared" si="13"/>
        <v>7858.922844</v>
      </c>
      <c r="R56" s="80">
        <f t="shared" si="14"/>
        <v>2750.622996</v>
      </c>
      <c r="S56" s="79">
        <f t="shared" si="15"/>
        <v>5108.299849</v>
      </c>
      <c r="T56" s="79">
        <f t="shared" si="11"/>
        <v>5791.474849</v>
      </c>
      <c r="U56" s="7"/>
      <c r="X56" s="75">
        <v>40.0</v>
      </c>
      <c r="Y56" s="84">
        <f t="shared" si="5"/>
        <v>10279.59531</v>
      </c>
    </row>
    <row r="57">
      <c r="A57" s="7"/>
      <c r="B57" s="78">
        <v>4.0</v>
      </c>
      <c r="C57" s="79">
        <f>Financiero!$B$6*Financiero!$F$6</f>
        <v>31875</v>
      </c>
      <c r="D57" s="79">
        <f t="shared" si="6"/>
        <v>34882.56611</v>
      </c>
      <c r="E57" s="80">
        <f t="shared" si="1"/>
        <v>362.7786875</v>
      </c>
      <c r="F57" s="80">
        <f t="shared" si="16"/>
        <v>2160.87672</v>
      </c>
      <c r="G57" s="90">
        <f t="shared" si="18"/>
        <v>2523.655407</v>
      </c>
      <c r="H57" s="80">
        <f t="shared" si="17"/>
        <v>32721.68939</v>
      </c>
      <c r="I57" s="80">
        <f>Financiero!$I$3</f>
        <v>3935.200695</v>
      </c>
      <c r="J57" s="80">
        <f>Financiero!$I$2*Financiero!$F$6</f>
        <v>15147.51052</v>
      </c>
      <c r="K57" s="80">
        <f>(Financiero!$D$13+Financiero!$D$14+Financiero!$D$15)/12</f>
        <v>683.175</v>
      </c>
      <c r="L57" s="79">
        <f t="shared" si="12"/>
        <v>11746.3351</v>
      </c>
      <c r="M57" s="80">
        <f t="shared" si="3"/>
        <v>1179.375</v>
      </c>
      <c r="N57" s="80">
        <f t="shared" si="4"/>
        <v>6693.75</v>
      </c>
      <c r="O57" s="79">
        <f t="shared" si="8"/>
        <v>4083.55288</v>
      </c>
      <c r="P57" s="87">
        <f t="shared" si="19"/>
        <v>548.1413952</v>
      </c>
      <c r="Q57" s="79">
        <f t="shared" si="13"/>
        <v>7857.941981</v>
      </c>
      <c r="R57" s="80">
        <f t="shared" si="14"/>
        <v>2750.279693</v>
      </c>
      <c r="S57" s="79">
        <f t="shared" si="15"/>
        <v>5107.662288</v>
      </c>
      <c r="T57" s="79">
        <f t="shared" si="11"/>
        <v>5790.837288</v>
      </c>
      <c r="U57" s="7"/>
      <c r="X57" s="75">
        <v>41.0</v>
      </c>
      <c r="Y57" s="84">
        <f t="shared" si="5"/>
        <v>15314.54583</v>
      </c>
    </row>
    <row r="58">
      <c r="A58" s="7"/>
      <c r="B58" s="78">
        <v>5.0</v>
      </c>
      <c r="C58" s="79">
        <f>Financiero!$B$6*Financiero!$F$6</f>
        <v>31875</v>
      </c>
      <c r="D58" s="79">
        <f t="shared" si="6"/>
        <v>32721.68939</v>
      </c>
      <c r="E58" s="80">
        <f t="shared" si="1"/>
        <v>340.3055696</v>
      </c>
      <c r="F58" s="80">
        <f t="shared" si="16"/>
        <v>2183.349838</v>
      </c>
      <c r="G58" s="90">
        <f t="shared" si="18"/>
        <v>2523.655407</v>
      </c>
      <c r="H58" s="80">
        <f t="shared" si="17"/>
        <v>30538.33955</v>
      </c>
      <c r="I58" s="80">
        <f>Financiero!$I$3</f>
        <v>3935.200695</v>
      </c>
      <c r="J58" s="80">
        <f>Financiero!$I$2*Financiero!$F$6</f>
        <v>15147.51052</v>
      </c>
      <c r="K58" s="80">
        <f>(Financiero!$D$13+Financiero!$D$14+Financiero!$D$15)/12</f>
        <v>683.175</v>
      </c>
      <c r="L58" s="79">
        <f t="shared" si="12"/>
        <v>11768.80821</v>
      </c>
      <c r="M58" s="80">
        <f t="shared" si="3"/>
        <v>1179.375</v>
      </c>
      <c r="N58" s="80">
        <f t="shared" si="4"/>
        <v>6693.75</v>
      </c>
      <c r="O58" s="79">
        <f t="shared" si="8"/>
        <v>4078.833525</v>
      </c>
      <c r="P58" s="87">
        <f t="shared" si="19"/>
        <v>549.1324597</v>
      </c>
      <c r="Q58" s="79">
        <f t="shared" si="13"/>
        <v>7856.950916</v>
      </c>
      <c r="R58" s="80">
        <f t="shared" si="14"/>
        <v>2749.932821</v>
      </c>
      <c r="S58" s="79">
        <f t="shared" si="15"/>
        <v>5107.018096</v>
      </c>
      <c r="T58" s="79">
        <f t="shared" si="11"/>
        <v>5790.193096</v>
      </c>
      <c r="U58" s="7"/>
      <c r="X58" s="75">
        <v>42.0</v>
      </c>
      <c r="Y58" s="84">
        <f t="shared" si="5"/>
        <v>20348.93036</v>
      </c>
    </row>
    <row r="59">
      <c r="A59" s="7"/>
      <c r="B59" s="78">
        <v>6.0</v>
      </c>
      <c r="C59" s="79">
        <f>Financiero!$B$6*Financiero!$F$6</f>
        <v>31875</v>
      </c>
      <c r="D59" s="79">
        <f t="shared" si="6"/>
        <v>30538.33955</v>
      </c>
      <c r="E59" s="80">
        <f t="shared" si="1"/>
        <v>317.5987313</v>
      </c>
      <c r="F59" s="80">
        <f t="shared" si="16"/>
        <v>2206.056676</v>
      </c>
      <c r="G59" s="90">
        <f t="shared" si="18"/>
        <v>2523.655407</v>
      </c>
      <c r="H59" s="80">
        <f t="shared" si="17"/>
        <v>28332.28288</v>
      </c>
      <c r="I59" s="80">
        <f>Financiero!$I$3</f>
        <v>3935.200695</v>
      </c>
      <c r="J59" s="80">
        <f>Financiero!$I$2*Financiero!$F$6</f>
        <v>15147.51052</v>
      </c>
      <c r="K59" s="80">
        <f>(Financiero!$D$13+Financiero!$D$14+Financiero!$D$15)/12</f>
        <v>683.175</v>
      </c>
      <c r="L59" s="79">
        <f t="shared" si="12"/>
        <v>11791.51505</v>
      </c>
      <c r="M59" s="80">
        <f t="shared" si="3"/>
        <v>1179.375</v>
      </c>
      <c r="N59" s="80">
        <f t="shared" si="4"/>
        <v>6693.75</v>
      </c>
      <c r="O59" s="79">
        <f t="shared" si="8"/>
        <v>4074.065089</v>
      </c>
      <c r="P59" s="87">
        <f t="shared" si="19"/>
        <v>550.1338313</v>
      </c>
      <c r="Q59" s="79">
        <f t="shared" si="13"/>
        <v>7855.949545</v>
      </c>
      <c r="R59" s="80">
        <f t="shared" si="14"/>
        <v>2749.582341</v>
      </c>
      <c r="S59" s="79">
        <f t="shared" si="15"/>
        <v>5106.367204</v>
      </c>
      <c r="T59" s="79">
        <f t="shared" si="11"/>
        <v>5789.542204</v>
      </c>
      <c r="U59" s="7"/>
      <c r="X59" s="75">
        <v>43.0</v>
      </c>
      <c r="Y59" s="84">
        <f t="shared" si="5"/>
        <v>25382.743</v>
      </c>
    </row>
    <row r="60">
      <c r="A60" s="7"/>
      <c r="B60" s="78">
        <v>7.0</v>
      </c>
      <c r="C60" s="79">
        <f>Financiero!$B$6*Financiero!$F$6</f>
        <v>31875</v>
      </c>
      <c r="D60" s="79">
        <f t="shared" si="6"/>
        <v>28332.28288</v>
      </c>
      <c r="E60" s="80">
        <f t="shared" si="1"/>
        <v>294.6557419</v>
      </c>
      <c r="F60" s="80">
        <f t="shared" si="16"/>
        <v>2228.999665</v>
      </c>
      <c r="G60" s="90">
        <f t="shared" si="18"/>
        <v>2523.655407</v>
      </c>
      <c r="H60" s="80">
        <f t="shared" si="17"/>
        <v>26103.28321</v>
      </c>
      <c r="I60" s="80">
        <f>Financiero!$I$3</f>
        <v>3935.200695</v>
      </c>
      <c r="J60" s="80">
        <f>Financiero!$I$2*Financiero!$F$6</f>
        <v>15147.51052</v>
      </c>
      <c r="K60" s="80">
        <f>(Financiero!$D$13+Financiero!$D$14+Financiero!$D$15)/12</f>
        <v>683.175</v>
      </c>
      <c r="L60" s="79">
        <f t="shared" si="12"/>
        <v>11814.45804</v>
      </c>
      <c r="M60" s="80">
        <f t="shared" si="3"/>
        <v>1179.375</v>
      </c>
      <c r="N60" s="80">
        <f t="shared" si="4"/>
        <v>6693.75</v>
      </c>
      <c r="O60" s="79">
        <f t="shared" si="8"/>
        <v>4069.247061</v>
      </c>
      <c r="P60" s="87">
        <f t="shared" si="19"/>
        <v>551.1456171</v>
      </c>
      <c r="Q60" s="79">
        <f t="shared" si="13"/>
        <v>7854.937759</v>
      </c>
      <c r="R60" s="80">
        <f t="shared" si="14"/>
        <v>2749.228216</v>
      </c>
      <c r="S60" s="79">
        <f t="shared" si="15"/>
        <v>5105.709543</v>
      </c>
      <c r="T60" s="79">
        <f t="shared" si="11"/>
        <v>5788.884543</v>
      </c>
      <c r="U60" s="7"/>
      <c r="X60" s="75">
        <v>44.0</v>
      </c>
      <c r="Y60" s="84">
        <f t="shared" si="5"/>
        <v>30415.97782</v>
      </c>
    </row>
    <row r="61">
      <c r="A61" s="7"/>
      <c r="B61" s="78">
        <v>8.0</v>
      </c>
      <c r="C61" s="79">
        <f>Financiero!$B$6*Financiero!$F$6</f>
        <v>31875</v>
      </c>
      <c r="D61" s="79">
        <f t="shared" si="6"/>
        <v>26103.28321</v>
      </c>
      <c r="E61" s="80">
        <f t="shared" si="1"/>
        <v>271.4741454</v>
      </c>
      <c r="F61" s="80">
        <f t="shared" si="16"/>
        <v>2252.181262</v>
      </c>
      <c r="G61" s="90">
        <f t="shared" si="18"/>
        <v>2523.655407</v>
      </c>
      <c r="H61" s="80">
        <f t="shared" si="17"/>
        <v>23851.10195</v>
      </c>
      <c r="I61" s="80">
        <f>Financiero!$I$3</f>
        <v>3935.200695</v>
      </c>
      <c r="J61" s="80">
        <f>Financiero!$I$2*Financiero!$F$6</f>
        <v>15147.51052</v>
      </c>
      <c r="K61" s="80">
        <f>(Financiero!$D$13+Financiero!$D$14+Financiero!$D$15)/12</f>
        <v>683.175</v>
      </c>
      <c r="L61" s="79">
        <f t="shared" si="12"/>
        <v>11837.63964</v>
      </c>
      <c r="M61" s="80">
        <f t="shared" si="3"/>
        <v>1179.375</v>
      </c>
      <c r="N61" s="80">
        <f t="shared" si="4"/>
        <v>6693.75</v>
      </c>
      <c r="O61" s="79">
        <f t="shared" si="8"/>
        <v>4064.378926</v>
      </c>
      <c r="P61" s="87">
        <f t="shared" si="19"/>
        <v>552.1679255</v>
      </c>
      <c r="Q61" s="79">
        <f t="shared" si="13"/>
        <v>7853.915451</v>
      </c>
      <c r="R61" s="80">
        <f t="shared" si="14"/>
        <v>2748.870408</v>
      </c>
      <c r="S61" s="79">
        <f t="shared" si="15"/>
        <v>5105.045043</v>
      </c>
      <c r="T61" s="79">
        <f t="shared" si="11"/>
        <v>5788.220043</v>
      </c>
      <c r="U61" s="7"/>
      <c r="X61" s="75">
        <v>45.0</v>
      </c>
      <c r="Y61" s="84">
        <f t="shared" si="5"/>
        <v>35448.62881</v>
      </c>
    </row>
    <row r="62">
      <c r="A62" s="7"/>
      <c r="B62" s="78">
        <v>9.0</v>
      </c>
      <c r="C62" s="79">
        <f>Financiero!$B$6*Financiero!$F$6</f>
        <v>31875</v>
      </c>
      <c r="D62" s="79">
        <f t="shared" si="6"/>
        <v>23851.10195</v>
      </c>
      <c r="E62" s="80">
        <f t="shared" si="1"/>
        <v>248.0514603</v>
      </c>
      <c r="F62" s="80">
        <f t="shared" si="16"/>
        <v>2275.603947</v>
      </c>
      <c r="G62" s="90">
        <f t="shared" si="18"/>
        <v>2523.655407</v>
      </c>
      <c r="H62" s="80">
        <f t="shared" si="17"/>
        <v>21575.498</v>
      </c>
      <c r="I62" s="80">
        <f>Financiero!$I$3</f>
        <v>3935.200695</v>
      </c>
      <c r="J62" s="80">
        <f>Financiero!$I$2*Financiero!$F$6</f>
        <v>15147.51052</v>
      </c>
      <c r="K62" s="80">
        <f>(Financiero!$D$13+Financiero!$D$14+Financiero!$D$15)/12</f>
        <v>683.175</v>
      </c>
      <c r="L62" s="79">
        <f t="shared" si="12"/>
        <v>11861.06232</v>
      </c>
      <c r="M62" s="80">
        <f t="shared" si="3"/>
        <v>1179.375</v>
      </c>
      <c r="N62" s="80">
        <f t="shared" si="4"/>
        <v>6693.75</v>
      </c>
      <c r="O62" s="79">
        <f t="shared" si="8"/>
        <v>4059.460162</v>
      </c>
      <c r="P62" s="87">
        <f t="shared" si="19"/>
        <v>553.2008659</v>
      </c>
      <c r="Q62" s="79">
        <f t="shared" si="13"/>
        <v>7852.88251</v>
      </c>
      <c r="R62" s="80">
        <f t="shared" si="14"/>
        <v>2748.508879</v>
      </c>
      <c r="S62" s="79">
        <f t="shared" si="15"/>
        <v>5104.373632</v>
      </c>
      <c r="T62" s="79">
        <f t="shared" si="11"/>
        <v>5787.548632</v>
      </c>
      <c r="U62" s="7"/>
      <c r="X62" s="75">
        <v>46.0</v>
      </c>
      <c r="Y62" s="84">
        <f t="shared" si="5"/>
        <v>40480.68988</v>
      </c>
    </row>
    <row r="63">
      <c r="A63" s="7"/>
      <c r="B63" s="78">
        <v>10.0</v>
      </c>
      <c r="C63" s="79">
        <f>Financiero!$B$6*Financiero!$F$6</f>
        <v>31875</v>
      </c>
      <c r="D63" s="79">
        <f t="shared" si="6"/>
        <v>21575.498</v>
      </c>
      <c r="E63" s="80">
        <f t="shared" si="1"/>
        <v>224.3851792</v>
      </c>
      <c r="F63" s="80">
        <f t="shared" si="16"/>
        <v>2299.270228</v>
      </c>
      <c r="G63" s="90">
        <f t="shared" si="18"/>
        <v>2523.655407</v>
      </c>
      <c r="H63" s="80">
        <f t="shared" si="17"/>
        <v>19276.22777</v>
      </c>
      <c r="I63" s="80">
        <f>Financiero!$I$3</f>
        <v>3935.200695</v>
      </c>
      <c r="J63" s="80">
        <f>Financiero!$I$2*Financiero!$F$6</f>
        <v>15147.51052</v>
      </c>
      <c r="K63" s="80">
        <f>(Financiero!$D$13+Financiero!$D$14+Financiero!$D$15)/12</f>
        <v>683.175</v>
      </c>
      <c r="L63" s="79">
        <f t="shared" si="12"/>
        <v>11884.7286</v>
      </c>
      <c r="M63" s="80">
        <f t="shared" si="3"/>
        <v>1179.375</v>
      </c>
      <c r="N63" s="80">
        <f t="shared" si="4"/>
        <v>6693.75</v>
      </c>
      <c r="O63" s="79">
        <f t="shared" si="8"/>
        <v>4054.490243</v>
      </c>
      <c r="P63" s="87">
        <f t="shared" si="19"/>
        <v>554.2445489</v>
      </c>
      <c r="Q63" s="79">
        <f t="shared" si="13"/>
        <v>7851.838827</v>
      </c>
      <c r="R63" s="80">
        <f t="shared" si="14"/>
        <v>2748.14359</v>
      </c>
      <c r="S63" s="79">
        <f t="shared" si="15"/>
        <v>5103.695238</v>
      </c>
      <c r="T63" s="79">
        <f t="shared" si="11"/>
        <v>5786.870238</v>
      </c>
      <c r="U63" s="7"/>
      <c r="X63" s="75">
        <v>47.0</v>
      </c>
      <c r="Y63" s="84">
        <f t="shared" si="5"/>
        <v>45512.15492</v>
      </c>
    </row>
    <row r="64">
      <c r="A64" s="7"/>
      <c r="B64" s="78">
        <v>11.0</v>
      </c>
      <c r="C64" s="79">
        <f>Financiero!$B$6*Financiero!$F$6</f>
        <v>31875</v>
      </c>
      <c r="D64" s="79">
        <f t="shared" si="6"/>
        <v>19276.22777</v>
      </c>
      <c r="E64" s="80">
        <f t="shared" si="1"/>
        <v>200.4727688</v>
      </c>
      <c r="F64" s="80">
        <f t="shared" si="16"/>
        <v>2323.182638</v>
      </c>
      <c r="G64" s="90">
        <f t="shared" si="18"/>
        <v>2523.655407</v>
      </c>
      <c r="H64" s="80">
        <f t="shared" si="17"/>
        <v>16953.04514</v>
      </c>
      <c r="I64" s="80">
        <f>Financiero!$I$3</f>
        <v>3935.200695</v>
      </c>
      <c r="J64" s="80">
        <f>Financiero!$I$2*Financiero!$F$6</f>
        <v>15147.51052</v>
      </c>
      <c r="K64" s="80">
        <f>(Financiero!$D$13+Financiero!$D$14+Financiero!$D$15)/12</f>
        <v>683.175</v>
      </c>
      <c r="L64" s="79">
        <f t="shared" si="12"/>
        <v>11908.64101</v>
      </c>
      <c r="M64" s="80">
        <f t="shared" si="3"/>
        <v>1179.375</v>
      </c>
      <c r="N64" s="80">
        <f t="shared" si="4"/>
        <v>6693.75</v>
      </c>
      <c r="O64" s="79">
        <f t="shared" si="8"/>
        <v>4049.468637</v>
      </c>
      <c r="P64" s="87">
        <f t="shared" si="19"/>
        <v>555.2990862</v>
      </c>
      <c r="Q64" s="79">
        <f t="shared" si="13"/>
        <v>7850.78429</v>
      </c>
      <c r="R64" s="80">
        <f t="shared" si="14"/>
        <v>2747.774501</v>
      </c>
      <c r="S64" s="79">
        <f t="shared" si="15"/>
        <v>5103.009788</v>
      </c>
      <c r="T64" s="79">
        <f t="shared" si="11"/>
        <v>5786.184788</v>
      </c>
      <c r="U64" s="7"/>
      <c r="X64" s="75">
        <v>48.0</v>
      </c>
      <c r="Y64" s="84">
        <f t="shared" si="5"/>
        <v>50543.01771</v>
      </c>
    </row>
    <row r="65">
      <c r="A65" s="10"/>
      <c r="B65" s="78">
        <v>12.0</v>
      </c>
      <c r="C65" s="79">
        <f>Financiero!$B$6*Financiero!$F$6</f>
        <v>31875</v>
      </c>
      <c r="D65" s="79">
        <f t="shared" si="6"/>
        <v>16953.04514</v>
      </c>
      <c r="E65" s="80">
        <f t="shared" si="1"/>
        <v>176.3116694</v>
      </c>
      <c r="F65" s="80">
        <f t="shared" si="16"/>
        <v>2347.343738</v>
      </c>
      <c r="G65" s="90">
        <f t="shared" si="18"/>
        <v>2523.655407</v>
      </c>
      <c r="H65" s="80">
        <f t="shared" si="17"/>
        <v>14605.7014</v>
      </c>
      <c r="I65" s="80">
        <f>Financiero!$I$3</f>
        <v>3935.200695</v>
      </c>
      <c r="J65" s="80">
        <f>Financiero!$I$2*Financiero!$F$6</f>
        <v>15147.51052</v>
      </c>
      <c r="K65" s="80">
        <f>(Financiero!$D$13+Financiero!$D$14+Financiero!$D$15)/12</f>
        <v>683.175</v>
      </c>
      <c r="L65" s="79">
        <f t="shared" si="12"/>
        <v>11932.80211</v>
      </c>
      <c r="M65" s="80">
        <f t="shared" si="3"/>
        <v>1179.375</v>
      </c>
      <c r="N65" s="80">
        <f t="shared" si="4"/>
        <v>6693.75</v>
      </c>
      <c r="O65" s="79">
        <f t="shared" si="8"/>
        <v>4044.394806</v>
      </c>
      <c r="P65" s="87">
        <f t="shared" si="19"/>
        <v>556.3645907</v>
      </c>
      <c r="Q65" s="79">
        <f t="shared" si="13"/>
        <v>7849.718785</v>
      </c>
      <c r="R65" s="80">
        <f t="shared" si="14"/>
        <v>2747.401575</v>
      </c>
      <c r="S65" s="79">
        <f t="shared" si="15"/>
        <v>5102.317211</v>
      </c>
      <c r="T65" s="79">
        <f t="shared" si="11"/>
        <v>5785.492211</v>
      </c>
      <c r="U65" s="10"/>
    </row>
    <row r="66">
      <c r="A66" s="85">
        <v>5.0</v>
      </c>
      <c r="B66" s="78">
        <v>1.0</v>
      </c>
      <c r="C66" s="79">
        <f>Financiero!$B$7*Financiero!$F$7</f>
        <v>41666.66667</v>
      </c>
      <c r="D66" s="79">
        <f t="shared" si="6"/>
        <v>14605.7014</v>
      </c>
      <c r="E66" s="80">
        <f t="shared" si="1"/>
        <v>151.8992945</v>
      </c>
      <c r="F66" s="80">
        <f t="shared" si="16"/>
        <v>2371.756113</v>
      </c>
      <c r="G66" s="90">
        <f t="shared" si="18"/>
        <v>2523.655407</v>
      </c>
      <c r="H66" s="80">
        <f t="shared" si="17"/>
        <v>12233.94529</v>
      </c>
      <c r="I66" s="80">
        <f>Financiero!$I$3</f>
        <v>3935.200695</v>
      </c>
      <c r="J66" s="80">
        <f>Financiero!$I$2*Financiero!$F$7</f>
        <v>17820.60061</v>
      </c>
      <c r="K66" s="80">
        <f>(Financiero!$D$13+Financiero!$D$14+Financiero!$D$15)/12</f>
        <v>683.175</v>
      </c>
      <c r="L66" s="79">
        <f t="shared" si="12"/>
        <v>19075.79106</v>
      </c>
      <c r="M66" s="80">
        <f t="shared" si="3"/>
        <v>1541.666667</v>
      </c>
      <c r="N66" s="80">
        <f t="shared" si="4"/>
        <v>8750</v>
      </c>
      <c r="O66" s="79">
        <f t="shared" si="8"/>
        <v>4600.617127</v>
      </c>
      <c r="P66" s="87">
        <f t="shared" si="19"/>
        <v>871.3704034</v>
      </c>
      <c r="Q66" s="79">
        <f t="shared" si="13"/>
        <v>14290.99788</v>
      </c>
      <c r="R66" s="80">
        <f t="shared" si="14"/>
        <v>5001.849258</v>
      </c>
      <c r="S66" s="79">
        <f t="shared" si="15"/>
        <v>9289.148622</v>
      </c>
      <c r="T66" s="79">
        <f t="shared" si="11"/>
        <v>9972.323622</v>
      </c>
      <c r="U66" s="86">
        <f>SUM(T66:T77)</f>
        <v>129473.2603</v>
      </c>
    </row>
    <row r="67">
      <c r="A67" s="7"/>
      <c r="B67" s="78">
        <v>2.0</v>
      </c>
      <c r="C67" s="79">
        <f>Financiero!$B$7*Financiero!$F$7</f>
        <v>41666.66667</v>
      </c>
      <c r="D67" s="79">
        <f t="shared" si="6"/>
        <v>12233.94529</v>
      </c>
      <c r="E67" s="80">
        <f t="shared" si="1"/>
        <v>127.233031</v>
      </c>
      <c r="F67" s="80">
        <f t="shared" si="16"/>
        <v>2396.422376</v>
      </c>
      <c r="G67" s="90">
        <f t="shared" si="18"/>
        <v>2523.655407</v>
      </c>
      <c r="H67" s="80">
        <f t="shared" si="17"/>
        <v>9837.522909</v>
      </c>
      <c r="I67" s="80">
        <f>Financiero!$I$3</f>
        <v>3935.200695</v>
      </c>
      <c r="J67" s="80">
        <f>Financiero!$I$2*Financiero!$F$7</f>
        <v>17820.60061</v>
      </c>
      <c r="K67" s="80">
        <f>(Financiero!$D$13+Financiero!$D$14+Financiero!$D$15)/12</f>
        <v>683.175</v>
      </c>
      <c r="L67" s="79">
        <f t="shared" si="12"/>
        <v>19100.45733</v>
      </c>
      <c r="M67" s="80">
        <f t="shared" si="3"/>
        <v>1541.666667</v>
      </c>
      <c r="N67" s="80">
        <f t="shared" si="4"/>
        <v>8750</v>
      </c>
      <c r="O67" s="79">
        <f t="shared" si="8"/>
        <v>4595.437211</v>
      </c>
      <c r="P67" s="87">
        <f t="shared" si="19"/>
        <v>872.4581856</v>
      </c>
      <c r="Q67" s="79">
        <f t="shared" si="13"/>
        <v>14289.9101</v>
      </c>
      <c r="R67" s="80">
        <f t="shared" si="14"/>
        <v>5001.468534</v>
      </c>
      <c r="S67" s="79">
        <f t="shared" si="15"/>
        <v>9288.441564</v>
      </c>
      <c r="T67" s="79">
        <f t="shared" si="11"/>
        <v>9971.616564</v>
      </c>
      <c r="U67" s="7"/>
    </row>
    <row r="68">
      <c r="A68" s="7"/>
      <c r="B68" s="78">
        <v>3.0</v>
      </c>
      <c r="C68" s="79">
        <f>Financiero!$B$7*Financiero!$F$7</f>
        <v>41666.66667</v>
      </c>
      <c r="D68" s="79">
        <f t="shared" si="6"/>
        <v>9837.522909</v>
      </c>
      <c r="E68" s="80">
        <f t="shared" si="1"/>
        <v>102.3102383</v>
      </c>
      <c r="F68" s="80">
        <f t="shared" si="16"/>
        <v>2421.345169</v>
      </c>
      <c r="G68" s="90">
        <f t="shared" si="18"/>
        <v>2523.655407</v>
      </c>
      <c r="H68" s="80">
        <f t="shared" si="17"/>
        <v>7416.17774</v>
      </c>
      <c r="I68" s="80">
        <f>Financiero!$I$3</f>
        <v>3935.200695</v>
      </c>
      <c r="J68" s="80">
        <f>Financiero!$I$2*Financiero!$F$7</f>
        <v>17820.60061</v>
      </c>
      <c r="K68" s="80">
        <f>(Financiero!$D$13+Financiero!$D$14+Financiero!$D$15)/12</f>
        <v>683.175</v>
      </c>
      <c r="L68" s="79">
        <f t="shared" si="12"/>
        <v>19125.38012</v>
      </c>
      <c r="M68" s="80">
        <f t="shared" si="3"/>
        <v>1541.666667</v>
      </c>
      <c r="N68" s="80">
        <f t="shared" si="4"/>
        <v>8750</v>
      </c>
      <c r="O68" s="79">
        <f t="shared" si="8"/>
        <v>4590.203425</v>
      </c>
      <c r="P68" s="87">
        <f t="shared" si="19"/>
        <v>873.5572808</v>
      </c>
      <c r="Q68" s="79">
        <f t="shared" si="13"/>
        <v>14288.811</v>
      </c>
      <c r="R68" s="80">
        <f t="shared" si="14"/>
        <v>5001.083851</v>
      </c>
      <c r="S68" s="79">
        <f t="shared" si="15"/>
        <v>9287.727152</v>
      </c>
      <c r="T68" s="79">
        <f t="shared" si="11"/>
        <v>9970.902152</v>
      </c>
      <c r="U68" s="7"/>
    </row>
    <row r="69">
      <c r="A69" s="7"/>
      <c r="B69" s="78">
        <v>4.0</v>
      </c>
      <c r="C69" s="79">
        <f>Financiero!$B$7*Financiero!$F$7</f>
        <v>41666.66667</v>
      </c>
      <c r="D69" s="79">
        <f t="shared" si="6"/>
        <v>7416.17774</v>
      </c>
      <c r="E69" s="80">
        <f t="shared" si="1"/>
        <v>77.12824849</v>
      </c>
      <c r="F69" s="80">
        <f t="shared" si="16"/>
        <v>2446.527159</v>
      </c>
      <c r="G69" s="90">
        <f t="shared" si="18"/>
        <v>2523.655407</v>
      </c>
      <c r="H69" s="80">
        <f t="shared" si="17"/>
        <v>4969.650581</v>
      </c>
      <c r="I69" s="80">
        <f>Financiero!$I$3</f>
        <v>3935.200695</v>
      </c>
      <c r="J69" s="80">
        <f>Financiero!$I$2*Financiero!$F$7</f>
        <v>17820.60061</v>
      </c>
      <c r="K69" s="80">
        <f>(Financiero!$D$13+Financiero!$D$14+Financiero!$D$15)/12</f>
        <v>683.175</v>
      </c>
      <c r="L69" s="79">
        <f t="shared" si="12"/>
        <v>19150.56211</v>
      </c>
      <c r="M69" s="80">
        <f t="shared" si="3"/>
        <v>1541.666667</v>
      </c>
      <c r="N69" s="80">
        <f t="shared" si="4"/>
        <v>8750</v>
      </c>
      <c r="O69" s="79">
        <f t="shared" si="8"/>
        <v>4584.915207</v>
      </c>
      <c r="P69" s="87">
        <f t="shared" si="19"/>
        <v>874.6678065</v>
      </c>
      <c r="Q69" s="79">
        <f t="shared" si="13"/>
        <v>14287.70048</v>
      </c>
      <c r="R69" s="80">
        <f t="shared" si="14"/>
        <v>5000.695167</v>
      </c>
      <c r="S69" s="79">
        <f t="shared" si="15"/>
        <v>9287.00531</v>
      </c>
      <c r="T69" s="79">
        <f t="shared" si="11"/>
        <v>9970.18031</v>
      </c>
      <c r="U69" s="7"/>
    </row>
    <row r="70">
      <c r="A70" s="7"/>
      <c r="B70" s="78">
        <v>5.0</v>
      </c>
      <c r="C70" s="79">
        <f>Financiero!$B$7*Financiero!$F$7</f>
        <v>41666.66667</v>
      </c>
      <c r="D70" s="79">
        <f t="shared" si="6"/>
        <v>4969.650581</v>
      </c>
      <c r="E70" s="80">
        <f t="shared" si="1"/>
        <v>51.68436604</v>
      </c>
      <c r="F70" s="80">
        <f t="shared" si="16"/>
        <v>2471.971041</v>
      </c>
      <c r="G70" s="90">
        <f t="shared" si="18"/>
        <v>2523.655407</v>
      </c>
      <c r="H70" s="80">
        <f t="shared" si="17"/>
        <v>2497.67954</v>
      </c>
      <c r="I70" s="80">
        <f>Financiero!$I$3</f>
        <v>3935.200695</v>
      </c>
      <c r="J70" s="80">
        <f>Financiero!$I$2*Financiero!$F$7</f>
        <v>17820.60061</v>
      </c>
      <c r="K70" s="80">
        <f>(Financiero!$D$13+Financiero!$D$14+Financiero!$D$15)/12</f>
        <v>683.175</v>
      </c>
      <c r="L70" s="79">
        <f t="shared" si="12"/>
        <v>19176.00599</v>
      </c>
      <c r="M70" s="80">
        <f t="shared" si="3"/>
        <v>1541.666667</v>
      </c>
      <c r="N70" s="80">
        <f t="shared" si="4"/>
        <v>8750</v>
      </c>
      <c r="O70" s="79">
        <f t="shared" si="8"/>
        <v>4579.571992</v>
      </c>
      <c r="P70" s="87">
        <f t="shared" si="19"/>
        <v>875.7898817</v>
      </c>
      <c r="Q70" s="79">
        <f t="shared" si="13"/>
        <v>14286.5784</v>
      </c>
      <c r="R70" s="80">
        <f t="shared" si="14"/>
        <v>5000.302441</v>
      </c>
      <c r="S70" s="79">
        <f t="shared" si="15"/>
        <v>9286.275961</v>
      </c>
      <c r="T70" s="79">
        <f t="shared" si="11"/>
        <v>9969.450961</v>
      </c>
      <c r="U70" s="7"/>
    </row>
    <row r="71">
      <c r="A71" s="7"/>
      <c r="B71" s="78">
        <v>6.0</v>
      </c>
      <c r="C71" s="79">
        <f>Financiero!$B$7*Financiero!$F$7</f>
        <v>41666.66667</v>
      </c>
      <c r="D71" s="79">
        <f t="shared" si="6"/>
        <v>2497.67954</v>
      </c>
      <c r="E71" s="80">
        <f t="shared" si="1"/>
        <v>25.97586722</v>
      </c>
      <c r="F71" s="80">
        <f t="shared" si="16"/>
        <v>2497.67954</v>
      </c>
      <c r="G71" s="90">
        <f t="shared" si="18"/>
        <v>2523.655407</v>
      </c>
      <c r="H71" s="80">
        <f t="shared" si="17"/>
        <v>-0.0000000003856257536</v>
      </c>
      <c r="I71" s="80">
        <f>Financiero!$I$3</f>
        <v>3935.200695</v>
      </c>
      <c r="J71" s="80">
        <f>Financiero!$I$2*Financiero!$F$7</f>
        <v>17820.60061</v>
      </c>
      <c r="K71" s="80">
        <f>(Financiero!$D$13+Financiero!$D$14+Financiero!$D$15)/12</f>
        <v>683.175</v>
      </c>
      <c r="L71" s="79">
        <f t="shared" si="12"/>
        <v>19201.71449</v>
      </c>
      <c r="M71" s="80">
        <f t="shared" si="3"/>
        <v>1541.666667</v>
      </c>
      <c r="N71" s="80">
        <f t="shared" si="4"/>
        <v>8750</v>
      </c>
      <c r="O71" s="79">
        <f t="shared" si="8"/>
        <v>4574.173207</v>
      </c>
      <c r="P71" s="87">
        <f t="shared" si="19"/>
        <v>876.9236265</v>
      </c>
      <c r="Q71" s="79">
        <f t="shared" si="13"/>
        <v>14285.44466</v>
      </c>
      <c r="R71" s="80">
        <f t="shared" si="14"/>
        <v>4999.90563</v>
      </c>
      <c r="S71" s="79">
        <f t="shared" si="15"/>
        <v>9285.539027</v>
      </c>
      <c r="T71" s="79">
        <f t="shared" si="11"/>
        <v>9968.714027</v>
      </c>
      <c r="U71" s="7"/>
    </row>
    <row r="72">
      <c r="A72" s="7"/>
      <c r="B72" s="78">
        <v>7.0</v>
      </c>
      <c r="C72" s="79">
        <f>Financiero!$B$7*Financiero!$F$7</f>
        <v>41666.66667</v>
      </c>
      <c r="D72" s="82"/>
      <c r="E72" s="81"/>
      <c r="F72" s="80"/>
      <c r="G72" s="81"/>
      <c r="H72" s="81"/>
      <c r="I72" s="80">
        <f>Financiero!$I$3</f>
        <v>3935.200695</v>
      </c>
      <c r="J72" s="80">
        <f>Financiero!$I$2*Financiero!$F$7</f>
        <v>17820.60061</v>
      </c>
      <c r="K72" s="80">
        <f>(Financiero!$D$13+Financiero!$D$14+Financiero!$D$15)/12</f>
        <v>683.175</v>
      </c>
      <c r="L72" s="79">
        <f t="shared" si="12"/>
        <v>19227.69036</v>
      </c>
      <c r="M72" s="80">
        <f t="shared" si="3"/>
        <v>1541.666667</v>
      </c>
      <c r="N72" s="80">
        <f t="shared" si="4"/>
        <v>8750</v>
      </c>
      <c r="O72" s="79">
        <f t="shared" si="8"/>
        <v>4568.718275</v>
      </c>
      <c r="P72" s="87">
        <f t="shared" si="19"/>
        <v>878.0691623</v>
      </c>
      <c r="Q72" s="79">
        <f t="shared" si="13"/>
        <v>16807.95453</v>
      </c>
      <c r="R72" s="80">
        <f t="shared" si="14"/>
        <v>5882.784085</v>
      </c>
      <c r="S72" s="79">
        <f t="shared" si="15"/>
        <v>10925.17044</v>
      </c>
      <c r="T72" s="79">
        <f t="shared" si="11"/>
        <v>11608.34544</v>
      </c>
      <c r="U72" s="7"/>
    </row>
    <row r="73">
      <c r="A73" s="7"/>
      <c r="B73" s="78">
        <v>8.0</v>
      </c>
      <c r="C73" s="79">
        <f>Financiero!$B$7*Financiero!$F$7</f>
        <v>41666.66667</v>
      </c>
      <c r="D73" s="82"/>
      <c r="E73" s="81"/>
      <c r="F73" s="80"/>
      <c r="G73" s="81"/>
      <c r="H73" s="81"/>
      <c r="I73" s="80">
        <f>Financiero!$I$3</f>
        <v>3935.200695</v>
      </c>
      <c r="J73" s="80">
        <f>Financiero!$I$2*Financiero!$F$7</f>
        <v>17820.60061</v>
      </c>
      <c r="K73" s="80">
        <f>(Financiero!$D$13+Financiero!$D$14+Financiero!$D$15)/12</f>
        <v>683.175</v>
      </c>
      <c r="L73" s="79">
        <f t="shared" si="12"/>
        <v>19227.69036</v>
      </c>
      <c r="M73" s="80">
        <f t="shared" si="3"/>
        <v>1541.666667</v>
      </c>
      <c r="N73" s="80">
        <f t="shared" si="4"/>
        <v>8750</v>
      </c>
      <c r="O73" s="79">
        <f t="shared" si="8"/>
        <v>4568.718275</v>
      </c>
      <c r="P73" s="87">
        <f t="shared" si="19"/>
        <v>878.0691623</v>
      </c>
      <c r="Q73" s="79">
        <f t="shared" si="13"/>
        <v>16807.95453</v>
      </c>
      <c r="R73" s="80">
        <f t="shared" si="14"/>
        <v>5882.784085</v>
      </c>
      <c r="S73" s="79">
        <f t="shared" si="15"/>
        <v>10925.17044</v>
      </c>
      <c r="T73" s="79">
        <f t="shared" si="11"/>
        <v>11608.34544</v>
      </c>
      <c r="U73" s="7"/>
    </row>
    <row r="74">
      <c r="A74" s="7"/>
      <c r="B74" s="78">
        <v>9.0</v>
      </c>
      <c r="C74" s="79">
        <f>Financiero!$B$7*Financiero!$F$7</f>
        <v>41666.66667</v>
      </c>
      <c r="D74" s="82"/>
      <c r="E74" s="81"/>
      <c r="F74" s="80"/>
      <c r="G74" s="81"/>
      <c r="H74" s="81"/>
      <c r="I74" s="80">
        <f>Financiero!$I$3</f>
        <v>3935.200695</v>
      </c>
      <c r="J74" s="80">
        <f>Financiero!$I$2*Financiero!$F$7</f>
        <v>17820.60061</v>
      </c>
      <c r="K74" s="80">
        <f>(Financiero!$D$13+Financiero!$D$14+Financiero!$D$15)/12</f>
        <v>683.175</v>
      </c>
      <c r="L74" s="79">
        <f t="shared" si="12"/>
        <v>19227.69036</v>
      </c>
      <c r="M74" s="80">
        <f t="shared" si="3"/>
        <v>1541.666667</v>
      </c>
      <c r="N74" s="80">
        <f t="shared" si="4"/>
        <v>8750</v>
      </c>
      <c r="O74" s="79">
        <f t="shared" si="8"/>
        <v>4568.718275</v>
      </c>
      <c r="P74" s="87">
        <f t="shared" si="19"/>
        <v>878.0691623</v>
      </c>
      <c r="Q74" s="79">
        <f t="shared" si="13"/>
        <v>16807.95453</v>
      </c>
      <c r="R74" s="80">
        <f t="shared" si="14"/>
        <v>5882.784085</v>
      </c>
      <c r="S74" s="79">
        <f t="shared" si="15"/>
        <v>10925.17044</v>
      </c>
      <c r="T74" s="79">
        <f t="shared" si="11"/>
        <v>11608.34544</v>
      </c>
      <c r="U74" s="7"/>
    </row>
    <row r="75">
      <c r="A75" s="7"/>
      <c r="B75" s="78">
        <v>10.0</v>
      </c>
      <c r="C75" s="79">
        <f>Financiero!$B$7*Financiero!$F$7</f>
        <v>41666.66667</v>
      </c>
      <c r="D75" s="82"/>
      <c r="E75" s="81"/>
      <c r="F75" s="80"/>
      <c r="G75" s="81"/>
      <c r="H75" s="81"/>
      <c r="I75" s="80">
        <f>Financiero!$I$3</f>
        <v>3935.200695</v>
      </c>
      <c r="J75" s="80">
        <f>Financiero!$I$2*Financiero!$F$7</f>
        <v>17820.60061</v>
      </c>
      <c r="K75" s="80">
        <f>(Financiero!$D$13+Financiero!$D$14+Financiero!$D$15)/12</f>
        <v>683.175</v>
      </c>
      <c r="L75" s="79">
        <f t="shared" si="12"/>
        <v>19227.69036</v>
      </c>
      <c r="M75" s="80">
        <f t="shared" si="3"/>
        <v>1541.666667</v>
      </c>
      <c r="N75" s="80">
        <f t="shared" si="4"/>
        <v>8750</v>
      </c>
      <c r="O75" s="79">
        <f t="shared" si="8"/>
        <v>4568.718275</v>
      </c>
      <c r="P75" s="87">
        <f t="shared" si="19"/>
        <v>878.0691623</v>
      </c>
      <c r="Q75" s="79">
        <f t="shared" si="13"/>
        <v>16807.95453</v>
      </c>
      <c r="R75" s="80">
        <f t="shared" si="14"/>
        <v>5882.784085</v>
      </c>
      <c r="S75" s="79">
        <f t="shared" si="15"/>
        <v>10925.17044</v>
      </c>
      <c r="T75" s="79">
        <f t="shared" si="11"/>
        <v>11608.34544</v>
      </c>
      <c r="U75" s="7"/>
    </row>
    <row r="76">
      <c r="A76" s="7"/>
      <c r="B76" s="78">
        <v>11.0</v>
      </c>
      <c r="C76" s="79">
        <f>Financiero!$B$7*Financiero!$F$7</f>
        <v>41666.66667</v>
      </c>
      <c r="D76" s="82"/>
      <c r="E76" s="81"/>
      <c r="F76" s="80"/>
      <c r="G76" s="81"/>
      <c r="H76" s="81"/>
      <c r="I76" s="80">
        <f>Financiero!$I$3</f>
        <v>3935.200695</v>
      </c>
      <c r="J76" s="80">
        <f>Financiero!$I$2*Financiero!$F$7</f>
        <v>17820.60061</v>
      </c>
      <c r="K76" s="80">
        <f>(Financiero!$D$13+Financiero!$D$14+Financiero!$D$15)/12</f>
        <v>683.175</v>
      </c>
      <c r="L76" s="79">
        <f t="shared" si="12"/>
        <v>19227.69036</v>
      </c>
      <c r="M76" s="80">
        <f t="shared" si="3"/>
        <v>1541.666667</v>
      </c>
      <c r="N76" s="80">
        <f t="shared" si="4"/>
        <v>8750</v>
      </c>
      <c r="O76" s="79">
        <f t="shared" si="8"/>
        <v>4568.718275</v>
      </c>
      <c r="P76" s="87">
        <f t="shared" si="19"/>
        <v>878.0691623</v>
      </c>
      <c r="Q76" s="79">
        <f t="shared" si="13"/>
        <v>16807.95453</v>
      </c>
      <c r="R76" s="80">
        <f t="shared" si="14"/>
        <v>5882.784085</v>
      </c>
      <c r="S76" s="79">
        <f t="shared" si="15"/>
        <v>10925.17044</v>
      </c>
      <c r="T76" s="79">
        <f t="shared" si="11"/>
        <v>11608.34544</v>
      </c>
      <c r="U76" s="7"/>
    </row>
    <row r="77">
      <c r="A77" s="10"/>
      <c r="B77" s="78">
        <v>12.0</v>
      </c>
      <c r="C77" s="79">
        <f>Financiero!$B$7*Financiero!$F$7</f>
        <v>41666.66667</v>
      </c>
      <c r="D77" s="82"/>
      <c r="E77" s="81"/>
      <c r="F77" s="80"/>
      <c r="G77" s="81"/>
      <c r="H77" s="81"/>
      <c r="I77" s="80">
        <f>Financiero!$I$3</f>
        <v>3935.200695</v>
      </c>
      <c r="J77" s="80">
        <f>Financiero!$I$2*Financiero!$F$7</f>
        <v>17820.60061</v>
      </c>
      <c r="K77" s="80">
        <f>(Financiero!$D$13+Financiero!$D$14+Financiero!$D$15)/12</f>
        <v>683.175</v>
      </c>
      <c r="L77" s="79">
        <f t="shared" si="12"/>
        <v>19227.69036</v>
      </c>
      <c r="M77" s="80">
        <f t="shared" si="3"/>
        <v>1541.666667</v>
      </c>
      <c r="N77" s="80">
        <f t="shared" si="4"/>
        <v>8750</v>
      </c>
      <c r="O77" s="79">
        <f t="shared" si="8"/>
        <v>4568.718275</v>
      </c>
      <c r="P77" s="87">
        <f t="shared" si="19"/>
        <v>878.0691623</v>
      </c>
      <c r="Q77" s="79">
        <f t="shared" si="13"/>
        <v>16807.95453</v>
      </c>
      <c r="R77" s="80">
        <f t="shared" si="14"/>
        <v>5882.784085</v>
      </c>
      <c r="S77" s="79">
        <f t="shared" si="15"/>
        <v>10925.17044</v>
      </c>
      <c r="T77" s="79">
        <f t="shared" si="11"/>
        <v>11608.34544</v>
      </c>
      <c r="U77" s="10"/>
    </row>
    <row r="78">
      <c r="A78" s="85">
        <v>6.0</v>
      </c>
      <c r="B78" s="78">
        <v>1.0</v>
      </c>
      <c r="C78" s="79">
        <f>Financiero!$B$7*Financiero!$F$7</f>
        <v>41666.66667</v>
      </c>
      <c r="D78" s="82"/>
      <c r="E78" s="81"/>
      <c r="F78" s="80"/>
      <c r="G78" s="81"/>
      <c r="H78" s="81"/>
      <c r="I78" s="80">
        <f>Financiero!$I$3</f>
        <v>3935.200695</v>
      </c>
      <c r="J78" s="80">
        <f>Financiero!$I$2*Financiero!$F$7</f>
        <v>17820.60061</v>
      </c>
      <c r="K78" s="80">
        <f>(Financiero!$D$13+Financiero!$D$14+Financiero!$D$15)/12</f>
        <v>683.175</v>
      </c>
      <c r="L78" s="79">
        <f t="shared" si="12"/>
        <v>19227.69036</v>
      </c>
      <c r="M78" s="80">
        <f t="shared" si="3"/>
        <v>1541.666667</v>
      </c>
      <c r="N78" s="80">
        <f t="shared" si="4"/>
        <v>8750</v>
      </c>
      <c r="O78" s="79">
        <f t="shared" si="8"/>
        <v>4568.718275</v>
      </c>
      <c r="P78" s="87">
        <f t="shared" si="19"/>
        <v>878.0691623</v>
      </c>
      <c r="Q78" s="79">
        <f t="shared" si="13"/>
        <v>16807.95453</v>
      </c>
      <c r="R78" s="80">
        <f t="shared" si="14"/>
        <v>5882.784085</v>
      </c>
      <c r="S78" s="79">
        <f t="shared" si="15"/>
        <v>10925.17044</v>
      </c>
      <c r="T78" s="79">
        <f t="shared" si="11"/>
        <v>11608.34544</v>
      </c>
      <c r="U78" s="86">
        <f>SUM(T78:T89)</f>
        <v>139300.1453</v>
      </c>
    </row>
    <row r="79">
      <c r="A79" s="7"/>
      <c r="B79" s="78">
        <v>2.0</v>
      </c>
      <c r="C79" s="79">
        <f>Financiero!$B$7*Financiero!$F$7</f>
        <v>41666.66667</v>
      </c>
      <c r="D79" s="82"/>
      <c r="E79" s="81"/>
      <c r="F79" s="80"/>
      <c r="G79" s="81"/>
      <c r="H79" s="81"/>
      <c r="I79" s="80">
        <f>Financiero!$I$3</f>
        <v>3935.200695</v>
      </c>
      <c r="J79" s="80">
        <f>Financiero!$I$2*Financiero!$F$7</f>
        <v>17820.60061</v>
      </c>
      <c r="K79" s="80">
        <f>(Financiero!$D$13+Financiero!$D$14+Financiero!$D$15)/12</f>
        <v>683.175</v>
      </c>
      <c r="L79" s="79">
        <f t="shared" si="12"/>
        <v>19227.69036</v>
      </c>
      <c r="M79" s="80">
        <f t="shared" si="3"/>
        <v>1541.666667</v>
      </c>
      <c r="N79" s="80">
        <f t="shared" si="4"/>
        <v>8750</v>
      </c>
      <c r="O79" s="79">
        <f t="shared" si="8"/>
        <v>4568.718275</v>
      </c>
      <c r="P79" s="87">
        <f t="shared" si="19"/>
        <v>878.0691623</v>
      </c>
      <c r="Q79" s="79">
        <f t="shared" si="13"/>
        <v>16807.95453</v>
      </c>
      <c r="R79" s="80">
        <f t="shared" si="14"/>
        <v>5882.784085</v>
      </c>
      <c r="S79" s="79">
        <f t="shared" si="15"/>
        <v>10925.17044</v>
      </c>
      <c r="T79" s="79">
        <f t="shared" si="11"/>
        <v>11608.34544</v>
      </c>
      <c r="U79" s="7"/>
    </row>
    <row r="80">
      <c r="A80" s="7"/>
      <c r="B80" s="78">
        <v>3.0</v>
      </c>
      <c r="C80" s="79">
        <f>Financiero!$B$7*Financiero!$F$7</f>
        <v>41666.66667</v>
      </c>
      <c r="D80" s="82"/>
      <c r="E80" s="81"/>
      <c r="F80" s="80"/>
      <c r="G80" s="81"/>
      <c r="H80" s="81"/>
      <c r="I80" s="80">
        <f>Financiero!$I$3</f>
        <v>3935.200695</v>
      </c>
      <c r="J80" s="80">
        <f>Financiero!$I$2*Financiero!$F$7</f>
        <v>17820.60061</v>
      </c>
      <c r="K80" s="80">
        <f>(Financiero!$D$13+Financiero!$D$14+Financiero!$D$15)/12</f>
        <v>683.175</v>
      </c>
      <c r="L80" s="79">
        <f t="shared" si="12"/>
        <v>19227.69036</v>
      </c>
      <c r="M80" s="80">
        <f t="shared" si="3"/>
        <v>1541.666667</v>
      </c>
      <c r="N80" s="80">
        <f t="shared" si="4"/>
        <v>8750</v>
      </c>
      <c r="O80" s="79">
        <f t="shared" si="8"/>
        <v>4568.718275</v>
      </c>
      <c r="P80" s="87">
        <f t="shared" si="19"/>
        <v>878.0691623</v>
      </c>
      <c r="Q80" s="79">
        <f t="shared" si="13"/>
        <v>16807.95453</v>
      </c>
      <c r="R80" s="80">
        <f t="shared" si="14"/>
        <v>5882.784085</v>
      </c>
      <c r="S80" s="79">
        <f t="shared" si="15"/>
        <v>10925.17044</v>
      </c>
      <c r="T80" s="79">
        <f t="shared" si="11"/>
        <v>11608.34544</v>
      </c>
      <c r="U80" s="7"/>
    </row>
    <row r="81">
      <c r="A81" s="7"/>
      <c r="B81" s="78">
        <v>4.0</v>
      </c>
      <c r="C81" s="79">
        <f>Financiero!$B$7*Financiero!$F$7</f>
        <v>41666.66667</v>
      </c>
      <c r="D81" s="82"/>
      <c r="E81" s="81"/>
      <c r="F81" s="80"/>
      <c r="G81" s="81"/>
      <c r="H81" s="81"/>
      <c r="I81" s="80">
        <f>Financiero!$I$3</f>
        <v>3935.200695</v>
      </c>
      <c r="J81" s="80">
        <f>Financiero!$I$2*Financiero!$F$7</f>
        <v>17820.60061</v>
      </c>
      <c r="K81" s="80">
        <f>(Financiero!$D$13+Financiero!$D$14+Financiero!$D$15)/12</f>
        <v>683.175</v>
      </c>
      <c r="L81" s="79">
        <f t="shared" si="12"/>
        <v>19227.69036</v>
      </c>
      <c r="M81" s="80">
        <f t="shared" si="3"/>
        <v>1541.666667</v>
      </c>
      <c r="N81" s="80">
        <f t="shared" si="4"/>
        <v>8750</v>
      </c>
      <c r="O81" s="79">
        <f t="shared" si="8"/>
        <v>4568.718275</v>
      </c>
      <c r="P81" s="87">
        <f t="shared" si="19"/>
        <v>878.0691623</v>
      </c>
      <c r="Q81" s="79">
        <f t="shared" si="13"/>
        <v>16807.95453</v>
      </c>
      <c r="R81" s="80">
        <f t="shared" si="14"/>
        <v>5882.784085</v>
      </c>
      <c r="S81" s="79">
        <f t="shared" si="15"/>
        <v>10925.17044</v>
      </c>
      <c r="T81" s="79">
        <f t="shared" si="11"/>
        <v>11608.34544</v>
      </c>
      <c r="U81" s="7"/>
    </row>
    <row r="82">
      <c r="A82" s="7"/>
      <c r="B82" s="78">
        <v>5.0</v>
      </c>
      <c r="C82" s="79">
        <f>Financiero!$B$7*Financiero!$F$7</f>
        <v>41666.66667</v>
      </c>
      <c r="D82" s="82"/>
      <c r="E82" s="81"/>
      <c r="F82" s="80"/>
      <c r="G82" s="81"/>
      <c r="H82" s="81"/>
      <c r="I82" s="80">
        <f>Financiero!$I$3</f>
        <v>3935.200695</v>
      </c>
      <c r="J82" s="80">
        <f>Financiero!$I$2*Financiero!$F$7</f>
        <v>17820.60061</v>
      </c>
      <c r="K82" s="80">
        <f>(Financiero!$D$13+Financiero!$D$14+Financiero!$D$15)/12</f>
        <v>683.175</v>
      </c>
      <c r="L82" s="79">
        <f t="shared" si="12"/>
        <v>19227.69036</v>
      </c>
      <c r="M82" s="80">
        <f t="shared" si="3"/>
        <v>1541.666667</v>
      </c>
      <c r="N82" s="80">
        <f t="shared" si="4"/>
        <v>8750</v>
      </c>
      <c r="O82" s="79">
        <f t="shared" si="8"/>
        <v>4568.718275</v>
      </c>
      <c r="P82" s="87">
        <f t="shared" si="19"/>
        <v>878.0691623</v>
      </c>
      <c r="Q82" s="79">
        <f t="shared" si="13"/>
        <v>16807.95453</v>
      </c>
      <c r="R82" s="80">
        <f t="shared" si="14"/>
        <v>5882.784085</v>
      </c>
      <c r="S82" s="79">
        <f t="shared" si="15"/>
        <v>10925.17044</v>
      </c>
      <c r="T82" s="79">
        <f t="shared" si="11"/>
        <v>11608.34544</v>
      </c>
      <c r="U82" s="7"/>
    </row>
    <row r="83">
      <c r="A83" s="7"/>
      <c r="B83" s="78">
        <v>6.0</v>
      </c>
      <c r="C83" s="79">
        <f>Financiero!$B$7*Financiero!$F$7</f>
        <v>41666.66667</v>
      </c>
      <c r="D83" s="82"/>
      <c r="E83" s="81"/>
      <c r="F83" s="80"/>
      <c r="G83" s="81"/>
      <c r="H83" s="81"/>
      <c r="I83" s="80">
        <f>Financiero!$I$3</f>
        <v>3935.200695</v>
      </c>
      <c r="J83" s="80">
        <f>Financiero!$I$2*Financiero!$F$7</f>
        <v>17820.60061</v>
      </c>
      <c r="K83" s="80">
        <f>(Financiero!$D$13+Financiero!$D$14+Financiero!$D$15)/12</f>
        <v>683.175</v>
      </c>
      <c r="L83" s="79">
        <f t="shared" si="12"/>
        <v>19227.69036</v>
      </c>
      <c r="M83" s="80">
        <f t="shared" si="3"/>
        <v>1541.666667</v>
      </c>
      <c r="N83" s="80">
        <f t="shared" si="4"/>
        <v>8750</v>
      </c>
      <c r="O83" s="79">
        <f t="shared" si="8"/>
        <v>4568.718275</v>
      </c>
      <c r="P83" s="87">
        <f t="shared" si="19"/>
        <v>878.0691623</v>
      </c>
      <c r="Q83" s="79">
        <f t="shared" si="13"/>
        <v>16807.95453</v>
      </c>
      <c r="R83" s="80">
        <f t="shared" si="14"/>
        <v>5882.784085</v>
      </c>
      <c r="S83" s="79">
        <f t="shared" si="15"/>
        <v>10925.17044</v>
      </c>
      <c r="T83" s="79">
        <f t="shared" si="11"/>
        <v>11608.34544</v>
      </c>
      <c r="U83" s="7"/>
    </row>
    <row r="84">
      <c r="A84" s="7"/>
      <c r="B84" s="78">
        <v>7.0</v>
      </c>
      <c r="C84" s="79">
        <f>Financiero!$B$7*Financiero!$F$7</f>
        <v>41666.66667</v>
      </c>
      <c r="D84" s="82"/>
      <c r="E84" s="81"/>
      <c r="F84" s="80"/>
      <c r="G84" s="81"/>
      <c r="H84" s="81"/>
      <c r="I84" s="80">
        <f>Financiero!$I$3</f>
        <v>3935.200695</v>
      </c>
      <c r="J84" s="80">
        <f>Financiero!$I$2*Financiero!$F$7</f>
        <v>17820.60061</v>
      </c>
      <c r="K84" s="80">
        <f>(Financiero!$D$13+Financiero!$D$14+Financiero!$D$15)/12</f>
        <v>683.175</v>
      </c>
      <c r="L84" s="79">
        <f t="shared" si="12"/>
        <v>19227.69036</v>
      </c>
      <c r="M84" s="80">
        <f t="shared" si="3"/>
        <v>1541.666667</v>
      </c>
      <c r="N84" s="80">
        <f t="shared" si="4"/>
        <v>8750</v>
      </c>
      <c r="O84" s="79">
        <f t="shared" si="8"/>
        <v>4568.718275</v>
      </c>
      <c r="P84" s="87">
        <f t="shared" si="19"/>
        <v>878.0691623</v>
      </c>
      <c r="Q84" s="79">
        <f t="shared" si="13"/>
        <v>16807.95453</v>
      </c>
      <c r="R84" s="80">
        <f t="shared" si="14"/>
        <v>5882.784085</v>
      </c>
      <c r="S84" s="79">
        <f t="shared" si="15"/>
        <v>10925.17044</v>
      </c>
      <c r="T84" s="79">
        <f t="shared" si="11"/>
        <v>11608.34544</v>
      </c>
      <c r="U84" s="7"/>
    </row>
    <row r="85">
      <c r="A85" s="7"/>
      <c r="B85" s="78">
        <v>8.0</v>
      </c>
      <c r="C85" s="79">
        <f>Financiero!$B$7*Financiero!$F$7</f>
        <v>41666.66667</v>
      </c>
      <c r="D85" s="82"/>
      <c r="E85" s="81"/>
      <c r="F85" s="80"/>
      <c r="G85" s="81"/>
      <c r="H85" s="81"/>
      <c r="I85" s="80">
        <f>Financiero!$I$3</f>
        <v>3935.200695</v>
      </c>
      <c r="J85" s="80">
        <f>Financiero!$I$2*Financiero!$F$7</f>
        <v>17820.60061</v>
      </c>
      <c r="K85" s="80">
        <f>(Financiero!$D$13+Financiero!$D$14+Financiero!$D$15)/12</f>
        <v>683.175</v>
      </c>
      <c r="L85" s="79">
        <f t="shared" si="12"/>
        <v>19227.69036</v>
      </c>
      <c r="M85" s="80">
        <f t="shared" si="3"/>
        <v>1541.666667</v>
      </c>
      <c r="N85" s="80">
        <f t="shared" si="4"/>
        <v>8750</v>
      </c>
      <c r="O85" s="79">
        <f t="shared" si="8"/>
        <v>4568.718275</v>
      </c>
      <c r="P85" s="87">
        <f t="shared" si="19"/>
        <v>878.0691623</v>
      </c>
      <c r="Q85" s="79">
        <f t="shared" si="13"/>
        <v>16807.95453</v>
      </c>
      <c r="R85" s="80">
        <f t="shared" si="14"/>
        <v>5882.784085</v>
      </c>
      <c r="S85" s="79">
        <f t="shared" si="15"/>
        <v>10925.17044</v>
      </c>
      <c r="T85" s="79">
        <f t="shared" si="11"/>
        <v>11608.34544</v>
      </c>
      <c r="U85" s="7"/>
    </row>
    <row r="86">
      <c r="A86" s="7"/>
      <c r="B86" s="78">
        <v>9.0</v>
      </c>
      <c r="C86" s="79">
        <f>Financiero!$B$7*Financiero!$F$7</f>
        <v>41666.66667</v>
      </c>
      <c r="D86" s="82"/>
      <c r="E86" s="81"/>
      <c r="F86" s="80"/>
      <c r="G86" s="81"/>
      <c r="H86" s="81"/>
      <c r="I86" s="80">
        <f>Financiero!$I$3</f>
        <v>3935.200695</v>
      </c>
      <c r="J86" s="80">
        <f>Financiero!$I$2*Financiero!$F$7</f>
        <v>17820.60061</v>
      </c>
      <c r="K86" s="80">
        <f>(Financiero!$D$13+Financiero!$D$14+Financiero!$D$15)/12</f>
        <v>683.175</v>
      </c>
      <c r="L86" s="79">
        <f t="shared" si="12"/>
        <v>19227.69036</v>
      </c>
      <c r="M86" s="80">
        <f t="shared" si="3"/>
        <v>1541.666667</v>
      </c>
      <c r="N86" s="80">
        <f t="shared" si="4"/>
        <v>8750</v>
      </c>
      <c r="O86" s="79">
        <f t="shared" si="8"/>
        <v>4568.718275</v>
      </c>
      <c r="P86" s="87">
        <f t="shared" si="19"/>
        <v>878.0691623</v>
      </c>
      <c r="Q86" s="79">
        <f t="shared" si="13"/>
        <v>16807.95453</v>
      </c>
      <c r="R86" s="80">
        <f t="shared" si="14"/>
        <v>5882.784085</v>
      </c>
      <c r="S86" s="79">
        <f t="shared" si="15"/>
        <v>10925.17044</v>
      </c>
      <c r="T86" s="79">
        <f t="shared" si="11"/>
        <v>11608.34544</v>
      </c>
      <c r="U86" s="7"/>
    </row>
    <row r="87">
      <c r="A87" s="7"/>
      <c r="B87" s="78">
        <v>10.0</v>
      </c>
      <c r="C87" s="79">
        <f>Financiero!$B$7*Financiero!$F$7</f>
        <v>41666.66667</v>
      </c>
      <c r="D87" s="82"/>
      <c r="E87" s="81"/>
      <c r="F87" s="80"/>
      <c r="G87" s="81"/>
      <c r="H87" s="81"/>
      <c r="I87" s="80">
        <f>Financiero!$I$3</f>
        <v>3935.200695</v>
      </c>
      <c r="J87" s="80">
        <f>Financiero!$I$2*Financiero!$F$7</f>
        <v>17820.60061</v>
      </c>
      <c r="K87" s="80">
        <f>(Financiero!$D$13+Financiero!$D$14+Financiero!$D$15)/12</f>
        <v>683.175</v>
      </c>
      <c r="L87" s="79">
        <f t="shared" si="12"/>
        <v>19227.69036</v>
      </c>
      <c r="M87" s="80">
        <f t="shared" si="3"/>
        <v>1541.666667</v>
      </c>
      <c r="N87" s="80">
        <f t="shared" si="4"/>
        <v>8750</v>
      </c>
      <c r="O87" s="79">
        <f t="shared" si="8"/>
        <v>4568.718275</v>
      </c>
      <c r="P87" s="87">
        <f t="shared" si="19"/>
        <v>878.0691623</v>
      </c>
      <c r="Q87" s="79">
        <f t="shared" si="13"/>
        <v>16807.95453</v>
      </c>
      <c r="R87" s="80">
        <f t="shared" si="14"/>
        <v>5882.784085</v>
      </c>
      <c r="S87" s="79">
        <f t="shared" si="15"/>
        <v>10925.17044</v>
      </c>
      <c r="T87" s="79">
        <f t="shared" si="11"/>
        <v>11608.34544</v>
      </c>
      <c r="U87" s="7"/>
    </row>
    <row r="88">
      <c r="A88" s="7"/>
      <c r="B88" s="78">
        <v>11.0</v>
      </c>
      <c r="C88" s="79">
        <f>Financiero!$B$7*Financiero!$F$7</f>
        <v>41666.66667</v>
      </c>
      <c r="D88" s="82"/>
      <c r="E88" s="81"/>
      <c r="F88" s="80"/>
      <c r="G88" s="81"/>
      <c r="H88" s="81"/>
      <c r="I88" s="80">
        <f>Financiero!$I$3</f>
        <v>3935.200695</v>
      </c>
      <c r="J88" s="80">
        <f>Financiero!$I$2*Financiero!$F$7</f>
        <v>17820.60061</v>
      </c>
      <c r="K88" s="80">
        <f>(Financiero!$D$13+Financiero!$D$14+Financiero!$D$15)/12</f>
        <v>683.175</v>
      </c>
      <c r="L88" s="79">
        <f t="shared" si="12"/>
        <v>19227.69036</v>
      </c>
      <c r="M88" s="80">
        <f t="shared" si="3"/>
        <v>1541.666667</v>
      </c>
      <c r="N88" s="80">
        <f t="shared" si="4"/>
        <v>8750</v>
      </c>
      <c r="O88" s="79">
        <f t="shared" si="8"/>
        <v>4568.718275</v>
      </c>
      <c r="P88" s="87">
        <f t="shared" si="19"/>
        <v>878.0691623</v>
      </c>
      <c r="Q88" s="79">
        <f t="shared" si="13"/>
        <v>16807.95453</v>
      </c>
      <c r="R88" s="80">
        <f t="shared" si="14"/>
        <v>5882.784085</v>
      </c>
      <c r="S88" s="79">
        <f t="shared" si="15"/>
        <v>10925.17044</v>
      </c>
      <c r="T88" s="79">
        <f t="shared" si="11"/>
        <v>11608.34544</v>
      </c>
      <c r="U88" s="7"/>
    </row>
    <row r="89">
      <c r="A89" s="10"/>
      <c r="B89" s="78">
        <v>12.0</v>
      </c>
      <c r="C89" s="79">
        <f>Financiero!$B$7*Financiero!$F$7</f>
        <v>41666.66667</v>
      </c>
      <c r="D89" s="82"/>
      <c r="E89" s="81"/>
      <c r="F89" s="80"/>
      <c r="G89" s="81"/>
      <c r="H89" s="81"/>
      <c r="I89" s="80">
        <f>Financiero!$I$3</f>
        <v>3935.200695</v>
      </c>
      <c r="J89" s="80">
        <f>Financiero!$I$2*Financiero!$F$7</f>
        <v>17820.60061</v>
      </c>
      <c r="K89" s="80">
        <f>(Financiero!$D$13+Financiero!$D$14+Financiero!$D$15)/12</f>
        <v>683.175</v>
      </c>
      <c r="L89" s="79">
        <f t="shared" si="12"/>
        <v>19227.69036</v>
      </c>
      <c r="M89" s="80">
        <f t="shared" si="3"/>
        <v>1541.666667</v>
      </c>
      <c r="N89" s="80">
        <f t="shared" si="4"/>
        <v>8750</v>
      </c>
      <c r="O89" s="79">
        <f t="shared" si="8"/>
        <v>4568.718275</v>
      </c>
      <c r="P89" s="87">
        <f t="shared" si="19"/>
        <v>878.0691623</v>
      </c>
      <c r="Q89" s="79">
        <f t="shared" si="13"/>
        <v>16807.95453</v>
      </c>
      <c r="R89" s="80">
        <f t="shared" si="14"/>
        <v>5882.784085</v>
      </c>
      <c r="S89" s="79">
        <f t="shared" si="15"/>
        <v>10925.17044</v>
      </c>
      <c r="T89" s="79">
        <f t="shared" si="11"/>
        <v>11608.34544</v>
      </c>
      <c r="U89" s="10"/>
    </row>
    <row r="90">
      <c r="A90" s="85">
        <v>7.0</v>
      </c>
      <c r="B90" s="78">
        <v>1.0</v>
      </c>
      <c r="C90" s="79">
        <f>Financiero!$B$7*Financiero!$F$7</f>
        <v>41666.66667</v>
      </c>
      <c r="D90" s="82"/>
      <c r="E90" s="81"/>
      <c r="F90" s="80"/>
      <c r="G90" s="81"/>
      <c r="H90" s="81"/>
      <c r="I90" s="80">
        <f>Financiero!$I$3</f>
        <v>3935.200695</v>
      </c>
      <c r="J90" s="80">
        <f>Financiero!$I$2*Financiero!$F$7</f>
        <v>17820.60061</v>
      </c>
      <c r="K90" s="80">
        <f>(Financiero!$D$13+Financiero!$D$14+Financiero!$D$15)/12</f>
        <v>683.175</v>
      </c>
      <c r="L90" s="79">
        <f t="shared" si="12"/>
        <v>19227.69036</v>
      </c>
      <c r="M90" s="80">
        <f t="shared" si="3"/>
        <v>1541.666667</v>
      </c>
      <c r="N90" s="80">
        <f t="shared" si="4"/>
        <v>8750</v>
      </c>
      <c r="O90" s="79">
        <f t="shared" si="8"/>
        <v>4568.718275</v>
      </c>
      <c r="P90" s="87">
        <f t="shared" si="19"/>
        <v>878.0691623</v>
      </c>
      <c r="Q90" s="79">
        <f t="shared" si="13"/>
        <v>16807.95453</v>
      </c>
      <c r="R90" s="80">
        <f t="shared" si="14"/>
        <v>5882.784085</v>
      </c>
      <c r="S90" s="79">
        <f t="shared" si="15"/>
        <v>10925.17044</v>
      </c>
      <c r="T90" s="79">
        <f t="shared" si="11"/>
        <v>11608.34544</v>
      </c>
      <c r="U90" s="86">
        <f>SUM(T90:T101)</f>
        <v>139300.1453</v>
      </c>
    </row>
    <row r="91">
      <c r="A91" s="7"/>
      <c r="B91" s="78">
        <v>2.0</v>
      </c>
      <c r="C91" s="79">
        <f>Financiero!$B$7*Financiero!$F$7</f>
        <v>41666.66667</v>
      </c>
      <c r="D91" s="82"/>
      <c r="E91" s="81"/>
      <c r="F91" s="80"/>
      <c r="G91" s="81"/>
      <c r="H91" s="81"/>
      <c r="I91" s="80">
        <f>Financiero!$I$3</f>
        <v>3935.200695</v>
      </c>
      <c r="J91" s="80">
        <f>Financiero!$I$2*Financiero!$F$7</f>
        <v>17820.60061</v>
      </c>
      <c r="K91" s="80">
        <f>(Financiero!$D$13+Financiero!$D$14+Financiero!$D$15)/12</f>
        <v>683.175</v>
      </c>
      <c r="L91" s="79">
        <f t="shared" si="12"/>
        <v>19227.69036</v>
      </c>
      <c r="M91" s="80">
        <f t="shared" si="3"/>
        <v>1541.666667</v>
      </c>
      <c r="N91" s="80">
        <f t="shared" si="4"/>
        <v>8750</v>
      </c>
      <c r="O91" s="79">
        <f t="shared" si="8"/>
        <v>4568.718275</v>
      </c>
      <c r="P91" s="87">
        <f t="shared" si="19"/>
        <v>878.0691623</v>
      </c>
      <c r="Q91" s="79">
        <f t="shared" si="13"/>
        <v>16807.95453</v>
      </c>
      <c r="R91" s="80">
        <f t="shared" si="14"/>
        <v>5882.784085</v>
      </c>
      <c r="S91" s="79">
        <f t="shared" si="15"/>
        <v>10925.17044</v>
      </c>
      <c r="T91" s="79">
        <f t="shared" si="11"/>
        <v>11608.34544</v>
      </c>
      <c r="U91" s="7"/>
    </row>
    <row r="92">
      <c r="A92" s="7"/>
      <c r="B92" s="78">
        <v>3.0</v>
      </c>
      <c r="C92" s="79">
        <f>Financiero!$B$7*Financiero!$F$7</f>
        <v>41666.66667</v>
      </c>
      <c r="D92" s="82"/>
      <c r="E92" s="81"/>
      <c r="F92" s="80"/>
      <c r="G92" s="81"/>
      <c r="H92" s="81"/>
      <c r="I92" s="80">
        <f>Financiero!$I$3</f>
        <v>3935.200695</v>
      </c>
      <c r="J92" s="80">
        <f>Financiero!$I$2*Financiero!$F$7</f>
        <v>17820.60061</v>
      </c>
      <c r="K92" s="80">
        <f>(Financiero!$D$13+Financiero!$D$14+Financiero!$D$15)/12</f>
        <v>683.175</v>
      </c>
      <c r="L92" s="79">
        <f t="shared" si="12"/>
        <v>19227.69036</v>
      </c>
      <c r="M92" s="80">
        <f t="shared" si="3"/>
        <v>1541.666667</v>
      </c>
      <c r="N92" s="80">
        <f t="shared" si="4"/>
        <v>8750</v>
      </c>
      <c r="O92" s="79">
        <f t="shared" si="8"/>
        <v>4568.718275</v>
      </c>
      <c r="P92" s="87">
        <f t="shared" si="19"/>
        <v>878.0691623</v>
      </c>
      <c r="Q92" s="79">
        <f t="shared" si="13"/>
        <v>16807.95453</v>
      </c>
      <c r="R92" s="80">
        <f t="shared" si="14"/>
        <v>5882.784085</v>
      </c>
      <c r="S92" s="79">
        <f t="shared" si="15"/>
        <v>10925.17044</v>
      </c>
      <c r="T92" s="79">
        <f t="shared" si="11"/>
        <v>11608.34544</v>
      </c>
      <c r="U92" s="7"/>
    </row>
    <row r="93">
      <c r="A93" s="7"/>
      <c r="B93" s="78">
        <v>4.0</v>
      </c>
      <c r="C93" s="79">
        <f>Financiero!$B$7*Financiero!$F$7</f>
        <v>41666.66667</v>
      </c>
      <c r="D93" s="82"/>
      <c r="E93" s="81"/>
      <c r="F93" s="80"/>
      <c r="G93" s="81"/>
      <c r="H93" s="81"/>
      <c r="I93" s="80">
        <f>Financiero!$I$3</f>
        <v>3935.200695</v>
      </c>
      <c r="J93" s="80">
        <f>Financiero!$I$2*Financiero!$F$7</f>
        <v>17820.60061</v>
      </c>
      <c r="K93" s="80">
        <f>(Financiero!$D$13+Financiero!$D$14+Financiero!$D$15)/12</f>
        <v>683.175</v>
      </c>
      <c r="L93" s="79">
        <f t="shared" si="12"/>
        <v>19227.69036</v>
      </c>
      <c r="M93" s="80">
        <f t="shared" si="3"/>
        <v>1541.666667</v>
      </c>
      <c r="N93" s="80">
        <f t="shared" si="4"/>
        <v>8750</v>
      </c>
      <c r="O93" s="79">
        <f t="shared" si="8"/>
        <v>4568.718275</v>
      </c>
      <c r="P93" s="87">
        <f t="shared" si="19"/>
        <v>878.0691623</v>
      </c>
      <c r="Q93" s="79">
        <f t="shared" si="13"/>
        <v>16807.95453</v>
      </c>
      <c r="R93" s="80">
        <f t="shared" si="14"/>
        <v>5882.784085</v>
      </c>
      <c r="S93" s="79">
        <f t="shared" si="15"/>
        <v>10925.17044</v>
      </c>
      <c r="T93" s="79">
        <f t="shared" si="11"/>
        <v>11608.34544</v>
      </c>
      <c r="U93" s="7"/>
    </row>
    <row r="94">
      <c r="A94" s="7"/>
      <c r="B94" s="78">
        <v>5.0</v>
      </c>
      <c r="C94" s="79">
        <f>Financiero!$B$7*Financiero!$F$7</f>
        <v>41666.66667</v>
      </c>
      <c r="D94" s="82"/>
      <c r="E94" s="81"/>
      <c r="F94" s="80"/>
      <c r="G94" s="81"/>
      <c r="H94" s="81"/>
      <c r="I94" s="80">
        <f>Financiero!$I$3</f>
        <v>3935.200695</v>
      </c>
      <c r="J94" s="80">
        <f>Financiero!$I$2*Financiero!$F$7</f>
        <v>17820.60061</v>
      </c>
      <c r="K94" s="80">
        <f>(Financiero!$D$13+Financiero!$D$14+Financiero!$D$15)/12</f>
        <v>683.175</v>
      </c>
      <c r="L94" s="79">
        <f t="shared" si="12"/>
        <v>19227.69036</v>
      </c>
      <c r="M94" s="80">
        <f t="shared" si="3"/>
        <v>1541.666667</v>
      </c>
      <c r="N94" s="80">
        <f t="shared" si="4"/>
        <v>8750</v>
      </c>
      <c r="O94" s="79">
        <f t="shared" si="8"/>
        <v>4568.718275</v>
      </c>
      <c r="P94" s="87">
        <f t="shared" si="19"/>
        <v>878.0691623</v>
      </c>
      <c r="Q94" s="79">
        <f t="shared" si="13"/>
        <v>16807.95453</v>
      </c>
      <c r="R94" s="80">
        <f t="shared" si="14"/>
        <v>5882.784085</v>
      </c>
      <c r="S94" s="79">
        <f t="shared" si="15"/>
        <v>10925.17044</v>
      </c>
      <c r="T94" s="79">
        <f t="shared" si="11"/>
        <v>11608.34544</v>
      </c>
      <c r="U94" s="7"/>
    </row>
    <row r="95">
      <c r="A95" s="7"/>
      <c r="B95" s="78">
        <v>6.0</v>
      </c>
      <c r="C95" s="79">
        <f>Financiero!$B$7*Financiero!$F$7</f>
        <v>41666.66667</v>
      </c>
      <c r="D95" s="82"/>
      <c r="E95" s="81"/>
      <c r="F95" s="80"/>
      <c r="G95" s="81"/>
      <c r="H95" s="81"/>
      <c r="I95" s="80">
        <f>Financiero!$I$3</f>
        <v>3935.200695</v>
      </c>
      <c r="J95" s="80">
        <f>Financiero!$I$2*Financiero!$F$7</f>
        <v>17820.60061</v>
      </c>
      <c r="K95" s="80">
        <f>(Financiero!$D$13+Financiero!$D$14+Financiero!$D$15)/12</f>
        <v>683.175</v>
      </c>
      <c r="L95" s="79">
        <f t="shared" si="12"/>
        <v>19227.69036</v>
      </c>
      <c r="M95" s="80">
        <f t="shared" si="3"/>
        <v>1541.666667</v>
      </c>
      <c r="N95" s="80">
        <f t="shared" si="4"/>
        <v>8750</v>
      </c>
      <c r="O95" s="79">
        <f t="shared" si="8"/>
        <v>4568.718275</v>
      </c>
      <c r="P95" s="87">
        <f t="shared" si="19"/>
        <v>878.0691623</v>
      </c>
      <c r="Q95" s="79">
        <f t="shared" si="13"/>
        <v>16807.95453</v>
      </c>
      <c r="R95" s="80">
        <f t="shared" si="14"/>
        <v>5882.784085</v>
      </c>
      <c r="S95" s="79">
        <f t="shared" si="15"/>
        <v>10925.17044</v>
      </c>
      <c r="T95" s="79">
        <f t="shared" si="11"/>
        <v>11608.34544</v>
      </c>
      <c r="U95" s="7"/>
    </row>
    <row r="96">
      <c r="A96" s="7"/>
      <c r="B96" s="78">
        <v>7.0</v>
      </c>
      <c r="C96" s="79">
        <f>Financiero!$B$7*Financiero!$F$7</f>
        <v>41666.66667</v>
      </c>
      <c r="D96" s="82"/>
      <c r="E96" s="81"/>
      <c r="F96" s="80"/>
      <c r="G96" s="81"/>
      <c r="H96" s="81"/>
      <c r="I96" s="80">
        <f>Financiero!$I$3</f>
        <v>3935.200695</v>
      </c>
      <c r="J96" s="80">
        <f>Financiero!$I$2*Financiero!$F$7</f>
        <v>17820.60061</v>
      </c>
      <c r="K96" s="80">
        <f>(Financiero!$D$13+Financiero!$D$14+Financiero!$D$15)/12</f>
        <v>683.175</v>
      </c>
      <c r="L96" s="79">
        <f t="shared" si="12"/>
        <v>19227.69036</v>
      </c>
      <c r="M96" s="80">
        <f t="shared" si="3"/>
        <v>1541.666667</v>
      </c>
      <c r="N96" s="80">
        <f t="shared" si="4"/>
        <v>8750</v>
      </c>
      <c r="O96" s="79">
        <f t="shared" si="8"/>
        <v>4568.718275</v>
      </c>
      <c r="P96" s="87">
        <f t="shared" si="19"/>
        <v>878.0691623</v>
      </c>
      <c r="Q96" s="79">
        <f t="shared" si="13"/>
        <v>16807.95453</v>
      </c>
      <c r="R96" s="80">
        <f t="shared" si="14"/>
        <v>5882.784085</v>
      </c>
      <c r="S96" s="79">
        <f t="shared" si="15"/>
        <v>10925.17044</v>
      </c>
      <c r="T96" s="79">
        <f t="shared" si="11"/>
        <v>11608.34544</v>
      </c>
      <c r="U96" s="7"/>
    </row>
    <row r="97">
      <c r="A97" s="7"/>
      <c r="B97" s="78">
        <v>8.0</v>
      </c>
      <c r="C97" s="79">
        <f>Financiero!$B$7*Financiero!$F$7</f>
        <v>41666.66667</v>
      </c>
      <c r="D97" s="82"/>
      <c r="E97" s="81"/>
      <c r="F97" s="80"/>
      <c r="G97" s="81"/>
      <c r="H97" s="81"/>
      <c r="I97" s="80">
        <f>Financiero!$I$3</f>
        <v>3935.200695</v>
      </c>
      <c r="J97" s="80">
        <f>Financiero!$I$2*Financiero!$F$7</f>
        <v>17820.60061</v>
      </c>
      <c r="K97" s="80">
        <f>(Financiero!$D$13+Financiero!$D$14+Financiero!$D$15)/12</f>
        <v>683.175</v>
      </c>
      <c r="L97" s="79">
        <f t="shared" si="12"/>
        <v>19227.69036</v>
      </c>
      <c r="M97" s="80">
        <f t="shared" si="3"/>
        <v>1541.666667</v>
      </c>
      <c r="N97" s="80">
        <f t="shared" si="4"/>
        <v>8750</v>
      </c>
      <c r="O97" s="79">
        <f t="shared" si="8"/>
        <v>4568.718275</v>
      </c>
      <c r="P97" s="87">
        <f t="shared" si="19"/>
        <v>878.0691623</v>
      </c>
      <c r="Q97" s="79">
        <f t="shared" si="13"/>
        <v>16807.95453</v>
      </c>
      <c r="R97" s="80">
        <f t="shared" si="14"/>
        <v>5882.784085</v>
      </c>
      <c r="S97" s="79">
        <f t="shared" si="15"/>
        <v>10925.17044</v>
      </c>
      <c r="T97" s="79">
        <f t="shared" si="11"/>
        <v>11608.34544</v>
      </c>
      <c r="U97" s="7"/>
    </row>
    <row r="98">
      <c r="A98" s="7"/>
      <c r="B98" s="78">
        <v>9.0</v>
      </c>
      <c r="C98" s="79">
        <f>Financiero!$B$7*Financiero!$F$7</f>
        <v>41666.66667</v>
      </c>
      <c r="D98" s="82"/>
      <c r="E98" s="81"/>
      <c r="F98" s="80"/>
      <c r="G98" s="81"/>
      <c r="H98" s="81"/>
      <c r="I98" s="80">
        <f>Financiero!$I$3</f>
        <v>3935.200695</v>
      </c>
      <c r="J98" s="80">
        <f>Financiero!$I$2*Financiero!$F$7</f>
        <v>17820.60061</v>
      </c>
      <c r="K98" s="80">
        <f>(Financiero!$D$13+Financiero!$D$14+Financiero!$D$15)/12</f>
        <v>683.175</v>
      </c>
      <c r="L98" s="79">
        <f t="shared" si="12"/>
        <v>19227.69036</v>
      </c>
      <c r="M98" s="80">
        <f t="shared" si="3"/>
        <v>1541.666667</v>
      </c>
      <c r="N98" s="80">
        <f t="shared" si="4"/>
        <v>8750</v>
      </c>
      <c r="O98" s="79">
        <f t="shared" si="8"/>
        <v>4568.718275</v>
      </c>
      <c r="P98" s="87">
        <f t="shared" si="19"/>
        <v>878.0691623</v>
      </c>
      <c r="Q98" s="79">
        <f t="shared" si="13"/>
        <v>16807.95453</v>
      </c>
      <c r="R98" s="80">
        <f t="shared" si="14"/>
        <v>5882.784085</v>
      </c>
      <c r="S98" s="79">
        <f t="shared" si="15"/>
        <v>10925.17044</v>
      </c>
      <c r="T98" s="79">
        <f t="shared" si="11"/>
        <v>11608.34544</v>
      </c>
      <c r="U98" s="7"/>
    </row>
    <row r="99">
      <c r="A99" s="7"/>
      <c r="B99" s="78">
        <v>10.0</v>
      </c>
      <c r="C99" s="79">
        <f>Financiero!$B$7*Financiero!$F$7</f>
        <v>41666.66667</v>
      </c>
      <c r="D99" s="82"/>
      <c r="E99" s="81"/>
      <c r="F99" s="80"/>
      <c r="G99" s="81"/>
      <c r="H99" s="81"/>
      <c r="I99" s="80">
        <f>Financiero!$I$3</f>
        <v>3935.200695</v>
      </c>
      <c r="J99" s="80">
        <f>Financiero!$I$2*Financiero!$F$7</f>
        <v>17820.60061</v>
      </c>
      <c r="K99" s="80">
        <f>(Financiero!$D$13+Financiero!$D$14+Financiero!$D$15)/12</f>
        <v>683.175</v>
      </c>
      <c r="L99" s="79">
        <f t="shared" si="12"/>
        <v>19227.69036</v>
      </c>
      <c r="M99" s="80">
        <f t="shared" si="3"/>
        <v>1541.666667</v>
      </c>
      <c r="N99" s="80">
        <f t="shared" si="4"/>
        <v>8750</v>
      </c>
      <c r="O99" s="79">
        <f t="shared" si="8"/>
        <v>4568.718275</v>
      </c>
      <c r="P99" s="87">
        <f t="shared" si="19"/>
        <v>878.0691623</v>
      </c>
      <c r="Q99" s="79">
        <f t="shared" si="13"/>
        <v>16807.95453</v>
      </c>
      <c r="R99" s="80">
        <f t="shared" si="14"/>
        <v>5882.784085</v>
      </c>
      <c r="S99" s="79">
        <f t="shared" si="15"/>
        <v>10925.17044</v>
      </c>
      <c r="T99" s="79">
        <f t="shared" si="11"/>
        <v>11608.34544</v>
      </c>
      <c r="U99" s="7"/>
    </row>
    <row r="100">
      <c r="A100" s="7"/>
      <c r="B100" s="78">
        <v>11.0</v>
      </c>
      <c r="C100" s="79">
        <f>Financiero!$B$7*Financiero!$F$7</f>
        <v>41666.66667</v>
      </c>
      <c r="D100" s="82"/>
      <c r="E100" s="81"/>
      <c r="F100" s="80"/>
      <c r="G100" s="81"/>
      <c r="H100" s="81"/>
      <c r="I100" s="80">
        <f>Financiero!$I$3</f>
        <v>3935.200695</v>
      </c>
      <c r="J100" s="80">
        <f>Financiero!$I$2*Financiero!$F$7</f>
        <v>17820.60061</v>
      </c>
      <c r="K100" s="80">
        <f>(Financiero!$D$13+Financiero!$D$14+Financiero!$D$15)/12</f>
        <v>683.175</v>
      </c>
      <c r="L100" s="79">
        <f t="shared" si="12"/>
        <v>19227.69036</v>
      </c>
      <c r="M100" s="80">
        <f t="shared" si="3"/>
        <v>1541.666667</v>
      </c>
      <c r="N100" s="80">
        <f t="shared" si="4"/>
        <v>8750</v>
      </c>
      <c r="O100" s="79">
        <f t="shared" si="8"/>
        <v>4568.718275</v>
      </c>
      <c r="P100" s="87">
        <f t="shared" si="19"/>
        <v>878.0691623</v>
      </c>
      <c r="Q100" s="79">
        <f t="shared" si="13"/>
        <v>16807.95453</v>
      </c>
      <c r="R100" s="80">
        <f t="shared" si="14"/>
        <v>5882.784085</v>
      </c>
      <c r="S100" s="79">
        <f t="shared" si="15"/>
        <v>10925.17044</v>
      </c>
      <c r="T100" s="79">
        <f t="shared" si="11"/>
        <v>11608.34544</v>
      </c>
      <c r="U100" s="7"/>
    </row>
    <row r="101">
      <c r="A101" s="10"/>
      <c r="B101" s="78">
        <v>12.0</v>
      </c>
      <c r="C101" s="79">
        <f>Financiero!$B$7*Financiero!$F$7</f>
        <v>41666.66667</v>
      </c>
      <c r="D101" s="82"/>
      <c r="E101" s="81"/>
      <c r="F101" s="80"/>
      <c r="G101" s="81"/>
      <c r="H101" s="81"/>
      <c r="I101" s="80">
        <f>Financiero!$I$3</f>
        <v>3935.200695</v>
      </c>
      <c r="J101" s="80">
        <f>Financiero!$I$2*Financiero!$F$7</f>
        <v>17820.60061</v>
      </c>
      <c r="K101" s="80">
        <f>(Financiero!$D$13+Financiero!$D$14+Financiero!$D$15)/12</f>
        <v>683.175</v>
      </c>
      <c r="L101" s="79">
        <f t="shared" si="12"/>
        <v>19227.69036</v>
      </c>
      <c r="M101" s="80">
        <f t="shared" si="3"/>
        <v>1541.666667</v>
      </c>
      <c r="N101" s="80">
        <f t="shared" si="4"/>
        <v>8750</v>
      </c>
      <c r="O101" s="79">
        <f t="shared" si="8"/>
        <v>4568.718275</v>
      </c>
      <c r="P101" s="87">
        <f t="shared" si="19"/>
        <v>878.0691623</v>
      </c>
      <c r="Q101" s="79">
        <f t="shared" si="13"/>
        <v>16807.95453</v>
      </c>
      <c r="R101" s="80">
        <f t="shared" si="14"/>
        <v>5882.784085</v>
      </c>
      <c r="S101" s="79">
        <f t="shared" si="15"/>
        <v>10925.17044</v>
      </c>
      <c r="T101" s="79">
        <f t="shared" si="11"/>
        <v>11608.34544</v>
      </c>
      <c r="U101" s="10"/>
    </row>
    <row r="102">
      <c r="A102" s="85">
        <v>8.0</v>
      </c>
      <c r="B102" s="78">
        <v>1.0</v>
      </c>
      <c r="C102" s="79">
        <f>Financiero!$B$7*Financiero!$F$7</f>
        <v>41666.66667</v>
      </c>
      <c r="D102" s="82"/>
      <c r="E102" s="81"/>
      <c r="F102" s="80"/>
      <c r="G102" s="81"/>
      <c r="H102" s="81"/>
      <c r="I102" s="80">
        <f>Financiero!$I$3</f>
        <v>3935.200695</v>
      </c>
      <c r="J102" s="80">
        <f>Financiero!$I$2*Financiero!$F$7</f>
        <v>17820.60061</v>
      </c>
      <c r="K102" s="80">
        <f>(Financiero!$D$13+Financiero!$D$14+Financiero!$D$15)/12</f>
        <v>683.175</v>
      </c>
      <c r="L102" s="79">
        <f t="shared" si="12"/>
        <v>19227.69036</v>
      </c>
      <c r="M102" s="80">
        <f t="shared" si="3"/>
        <v>1541.666667</v>
      </c>
      <c r="N102" s="80">
        <f t="shared" si="4"/>
        <v>8750</v>
      </c>
      <c r="O102" s="79">
        <f t="shared" si="8"/>
        <v>4568.718275</v>
      </c>
      <c r="P102" s="87">
        <f t="shared" si="19"/>
        <v>878.0691623</v>
      </c>
      <c r="Q102" s="79">
        <f t="shared" si="13"/>
        <v>16807.95453</v>
      </c>
      <c r="R102" s="80">
        <f t="shared" si="14"/>
        <v>5882.784085</v>
      </c>
      <c r="S102" s="79">
        <f t="shared" si="15"/>
        <v>10925.17044</v>
      </c>
      <c r="T102" s="79">
        <f t="shared" si="11"/>
        <v>11608.34544</v>
      </c>
      <c r="U102" s="86">
        <f>SUM(T102:T113)</f>
        <v>139300.1453</v>
      </c>
    </row>
    <row r="103">
      <c r="A103" s="7"/>
      <c r="B103" s="78">
        <v>2.0</v>
      </c>
      <c r="C103" s="79">
        <f>Financiero!$B$7*Financiero!$F$7</f>
        <v>41666.66667</v>
      </c>
      <c r="D103" s="82"/>
      <c r="E103" s="81"/>
      <c r="F103" s="80"/>
      <c r="G103" s="81"/>
      <c r="H103" s="81"/>
      <c r="I103" s="80">
        <f>Financiero!$I$3</f>
        <v>3935.200695</v>
      </c>
      <c r="J103" s="80">
        <f>Financiero!$I$2*Financiero!$F$7</f>
        <v>17820.60061</v>
      </c>
      <c r="K103" s="80">
        <f>(Financiero!$D$13+Financiero!$D$14+Financiero!$D$15)/12</f>
        <v>683.175</v>
      </c>
      <c r="L103" s="79">
        <f t="shared" si="12"/>
        <v>19227.69036</v>
      </c>
      <c r="M103" s="80">
        <f t="shared" si="3"/>
        <v>1541.666667</v>
      </c>
      <c r="N103" s="80">
        <f t="shared" si="4"/>
        <v>8750</v>
      </c>
      <c r="O103" s="79">
        <f t="shared" si="8"/>
        <v>4568.718275</v>
      </c>
      <c r="P103" s="87">
        <f t="shared" si="19"/>
        <v>878.0691623</v>
      </c>
      <c r="Q103" s="79">
        <f t="shared" si="13"/>
        <v>16807.95453</v>
      </c>
      <c r="R103" s="80">
        <f t="shared" si="14"/>
        <v>5882.784085</v>
      </c>
      <c r="S103" s="79">
        <f t="shared" si="15"/>
        <v>10925.17044</v>
      </c>
      <c r="T103" s="79">
        <f t="shared" si="11"/>
        <v>11608.34544</v>
      </c>
      <c r="U103" s="7"/>
    </row>
    <row r="104">
      <c r="A104" s="7"/>
      <c r="B104" s="78">
        <v>3.0</v>
      </c>
      <c r="C104" s="79">
        <f>Financiero!$B$7*Financiero!$F$7</f>
        <v>41666.66667</v>
      </c>
      <c r="D104" s="82"/>
      <c r="E104" s="81"/>
      <c r="F104" s="80"/>
      <c r="G104" s="81"/>
      <c r="H104" s="81"/>
      <c r="I104" s="80">
        <f>Financiero!$I$3</f>
        <v>3935.200695</v>
      </c>
      <c r="J104" s="80">
        <f>Financiero!$I$2*Financiero!$F$7</f>
        <v>17820.60061</v>
      </c>
      <c r="K104" s="80">
        <f>(Financiero!$D$13+Financiero!$D$14+Financiero!$D$15)/12</f>
        <v>683.175</v>
      </c>
      <c r="L104" s="79">
        <f t="shared" si="12"/>
        <v>19227.69036</v>
      </c>
      <c r="M104" s="80">
        <f t="shared" si="3"/>
        <v>1541.666667</v>
      </c>
      <c r="N104" s="80">
        <f t="shared" si="4"/>
        <v>8750</v>
      </c>
      <c r="O104" s="79">
        <f t="shared" si="8"/>
        <v>4568.718275</v>
      </c>
      <c r="P104" s="87">
        <f t="shared" si="19"/>
        <v>878.0691623</v>
      </c>
      <c r="Q104" s="79">
        <f t="shared" si="13"/>
        <v>16807.95453</v>
      </c>
      <c r="R104" s="80">
        <f t="shared" si="14"/>
        <v>5882.784085</v>
      </c>
      <c r="S104" s="79">
        <f t="shared" si="15"/>
        <v>10925.17044</v>
      </c>
      <c r="T104" s="79">
        <f t="shared" si="11"/>
        <v>11608.34544</v>
      </c>
      <c r="U104" s="7"/>
    </row>
    <row r="105">
      <c r="A105" s="7"/>
      <c r="B105" s="78">
        <v>4.0</v>
      </c>
      <c r="C105" s="79">
        <f>Financiero!$B$7*Financiero!$F$7</f>
        <v>41666.66667</v>
      </c>
      <c r="D105" s="82"/>
      <c r="E105" s="81"/>
      <c r="F105" s="80"/>
      <c r="G105" s="81"/>
      <c r="H105" s="81"/>
      <c r="I105" s="80">
        <f>Financiero!$I$3</f>
        <v>3935.200695</v>
      </c>
      <c r="J105" s="80">
        <f>Financiero!$I$2*Financiero!$F$7</f>
        <v>17820.60061</v>
      </c>
      <c r="K105" s="80">
        <f>(Financiero!$D$13+Financiero!$D$14+Financiero!$D$15)/12</f>
        <v>683.175</v>
      </c>
      <c r="L105" s="79">
        <f t="shared" si="12"/>
        <v>19227.69036</v>
      </c>
      <c r="M105" s="80">
        <f t="shared" si="3"/>
        <v>1541.666667</v>
      </c>
      <c r="N105" s="80">
        <f t="shared" si="4"/>
        <v>8750</v>
      </c>
      <c r="O105" s="79">
        <f t="shared" si="8"/>
        <v>4568.718275</v>
      </c>
      <c r="P105" s="87">
        <f t="shared" si="19"/>
        <v>878.0691623</v>
      </c>
      <c r="Q105" s="79">
        <f t="shared" si="13"/>
        <v>16807.95453</v>
      </c>
      <c r="R105" s="80">
        <f t="shared" si="14"/>
        <v>5882.784085</v>
      </c>
      <c r="S105" s="79">
        <f t="shared" si="15"/>
        <v>10925.17044</v>
      </c>
      <c r="T105" s="79">
        <f t="shared" si="11"/>
        <v>11608.34544</v>
      </c>
      <c r="U105" s="7"/>
    </row>
    <row r="106">
      <c r="A106" s="7"/>
      <c r="B106" s="78">
        <v>5.0</v>
      </c>
      <c r="C106" s="79">
        <f>Financiero!$B$7*Financiero!$F$7</f>
        <v>41666.66667</v>
      </c>
      <c r="D106" s="82"/>
      <c r="E106" s="81"/>
      <c r="F106" s="80"/>
      <c r="G106" s="81"/>
      <c r="H106" s="81"/>
      <c r="I106" s="80">
        <f>Financiero!$I$3</f>
        <v>3935.200695</v>
      </c>
      <c r="J106" s="80">
        <f>Financiero!$I$2*Financiero!$F$7</f>
        <v>17820.60061</v>
      </c>
      <c r="K106" s="80">
        <f>(Financiero!$D$13+Financiero!$D$14+Financiero!$D$15)/12</f>
        <v>683.175</v>
      </c>
      <c r="L106" s="79">
        <f t="shared" si="12"/>
        <v>19227.69036</v>
      </c>
      <c r="M106" s="80">
        <f t="shared" si="3"/>
        <v>1541.666667</v>
      </c>
      <c r="N106" s="80">
        <f t="shared" si="4"/>
        <v>8750</v>
      </c>
      <c r="O106" s="79">
        <f t="shared" si="8"/>
        <v>4568.718275</v>
      </c>
      <c r="P106" s="87">
        <f t="shared" si="19"/>
        <v>878.0691623</v>
      </c>
      <c r="Q106" s="79">
        <f t="shared" si="13"/>
        <v>16807.95453</v>
      </c>
      <c r="R106" s="80">
        <f t="shared" si="14"/>
        <v>5882.784085</v>
      </c>
      <c r="S106" s="79">
        <f t="shared" si="15"/>
        <v>10925.17044</v>
      </c>
      <c r="T106" s="79">
        <f t="shared" si="11"/>
        <v>11608.34544</v>
      </c>
      <c r="U106" s="7"/>
    </row>
    <row r="107">
      <c r="A107" s="7"/>
      <c r="B107" s="78">
        <v>6.0</v>
      </c>
      <c r="C107" s="79">
        <f>Financiero!$B$7*Financiero!$F$7</f>
        <v>41666.66667</v>
      </c>
      <c r="D107" s="82"/>
      <c r="E107" s="81"/>
      <c r="F107" s="80"/>
      <c r="G107" s="81"/>
      <c r="H107" s="81"/>
      <c r="I107" s="80">
        <f>Financiero!$I$3</f>
        <v>3935.200695</v>
      </c>
      <c r="J107" s="80">
        <f>Financiero!$I$2*Financiero!$F$7</f>
        <v>17820.60061</v>
      </c>
      <c r="K107" s="80">
        <f>(Financiero!$D$13+Financiero!$D$14+Financiero!$D$15)/12</f>
        <v>683.175</v>
      </c>
      <c r="L107" s="79">
        <f t="shared" si="12"/>
        <v>19227.69036</v>
      </c>
      <c r="M107" s="80">
        <f t="shared" si="3"/>
        <v>1541.666667</v>
      </c>
      <c r="N107" s="80">
        <f t="shared" si="4"/>
        <v>8750</v>
      </c>
      <c r="O107" s="79">
        <f t="shared" si="8"/>
        <v>4568.718275</v>
      </c>
      <c r="P107" s="87">
        <f t="shared" si="19"/>
        <v>878.0691623</v>
      </c>
      <c r="Q107" s="79">
        <f t="shared" si="13"/>
        <v>16807.95453</v>
      </c>
      <c r="R107" s="80">
        <f t="shared" si="14"/>
        <v>5882.784085</v>
      </c>
      <c r="S107" s="79">
        <f t="shared" si="15"/>
        <v>10925.17044</v>
      </c>
      <c r="T107" s="79">
        <f t="shared" si="11"/>
        <v>11608.34544</v>
      </c>
      <c r="U107" s="7"/>
    </row>
    <row r="108">
      <c r="A108" s="7"/>
      <c r="B108" s="78">
        <v>7.0</v>
      </c>
      <c r="C108" s="79">
        <f>Financiero!$B$7*Financiero!$F$7</f>
        <v>41666.66667</v>
      </c>
      <c r="D108" s="82"/>
      <c r="E108" s="81"/>
      <c r="F108" s="80"/>
      <c r="G108" s="81"/>
      <c r="H108" s="81"/>
      <c r="I108" s="80">
        <f>Financiero!$I$3</f>
        <v>3935.200695</v>
      </c>
      <c r="J108" s="80">
        <f>Financiero!$I$2*Financiero!$F$7</f>
        <v>17820.60061</v>
      </c>
      <c r="K108" s="80">
        <f>(Financiero!$D$13+Financiero!$D$14+Financiero!$D$15)/12</f>
        <v>683.175</v>
      </c>
      <c r="L108" s="79">
        <f t="shared" si="12"/>
        <v>19227.69036</v>
      </c>
      <c r="M108" s="80">
        <f t="shared" si="3"/>
        <v>1541.666667</v>
      </c>
      <c r="N108" s="80">
        <f t="shared" si="4"/>
        <v>8750</v>
      </c>
      <c r="O108" s="79">
        <f t="shared" si="8"/>
        <v>4568.718275</v>
      </c>
      <c r="P108" s="87">
        <f t="shared" si="19"/>
        <v>878.0691623</v>
      </c>
      <c r="Q108" s="79">
        <f t="shared" si="13"/>
        <v>16807.95453</v>
      </c>
      <c r="R108" s="80">
        <f t="shared" si="14"/>
        <v>5882.784085</v>
      </c>
      <c r="S108" s="79">
        <f t="shared" si="15"/>
        <v>10925.17044</v>
      </c>
      <c r="T108" s="79">
        <f t="shared" si="11"/>
        <v>11608.34544</v>
      </c>
      <c r="U108" s="7"/>
    </row>
    <row r="109">
      <c r="A109" s="7"/>
      <c r="B109" s="78">
        <v>8.0</v>
      </c>
      <c r="C109" s="79">
        <f>Financiero!$B$7*Financiero!$F$7</f>
        <v>41666.66667</v>
      </c>
      <c r="D109" s="82"/>
      <c r="E109" s="81"/>
      <c r="F109" s="80"/>
      <c r="G109" s="81"/>
      <c r="H109" s="81"/>
      <c r="I109" s="80">
        <f>Financiero!$I$3</f>
        <v>3935.200695</v>
      </c>
      <c r="J109" s="80">
        <f>Financiero!$I$2*Financiero!$F$7</f>
        <v>17820.60061</v>
      </c>
      <c r="K109" s="80">
        <f>(Financiero!$D$13+Financiero!$D$14+Financiero!$D$15)/12</f>
        <v>683.175</v>
      </c>
      <c r="L109" s="79">
        <f t="shared" si="12"/>
        <v>19227.69036</v>
      </c>
      <c r="M109" s="80">
        <f t="shared" si="3"/>
        <v>1541.666667</v>
      </c>
      <c r="N109" s="80">
        <f t="shared" si="4"/>
        <v>8750</v>
      </c>
      <c r="O109" s="79">
        <f t="shared" si="8"/>
        <v>4568.718275</v>
      </c>
      <c r="P109" s="87">
        <f t="shared" si="19"/>
        <v>878.0691623</v>
      </c>
      <c r="Q109" s="79">
        <f t="shared" si="13"/>
        <v>16807.95453</v>
      </c>
      <c r="R109" s="80">
        <f t="shared" si="14"/>
        <v>5882.784085</v>
      </c>
      <c r="S109" s="79">
        <f t="shared" si="15"/>
        <v>10925.17044</v>
      </c>
      <c r="T109" s="79">
        <f t="shared" si="11"/>
        <v>11608.34544</v>
      </c>
      <c r="U109" s="7"/>
    </row>
    <row r="110">
      <c r="A110" s="7"/>
      <c r="B110" s="78">
        <v>9.0</v>
      </c>
      <c r="C110" s="79">
        <f>Financiero!$B$7*Financiero!$F$7</f>
        <v>41666.66667</v>
      </c>
      <c r="D110" s="82"/>
      <c r="E110" s="81"/>
      <c r="F110" s="80"/>
      <c r="G110" s="81"/>
      <c r="H110" s="81"/>
      <c r="I110" s="80">
        <f>Financiero!$I$3</f>
        <v>3935.200695</v>
      </c>
      <c r="J110" s="80">
        <f>Financiero!$I$2*Financiero!$F$7</f>
        <v>17820.60061</v>
      </c>
      <c r="K110" s="80">
        <f>(Financiero!$D$13+Financiero!$D$14+Financiero!$D$15)/12</f>
        <v>683.175</v>
      </c>
      <c r="L110" s="79">
        <f t="shared" si="12"/>
        <v>19227.69036</v>
      </c>
      <c r="M110" s="80">
        <f t="shared" si="3"/>
        <v>1541.666667</v>
      </c>
      <c r="N110" s="80">
        <f t="shared" si="4"/>
        <v>8750</v>
      </c>
      <c r="O110" s="79">
        <f t="shared" si="8"/>
        <v>4568.718275</v>
      </c>
      <c r="P110" s="87">
        <f t="shared" si="19"/>
        <v>878.0691623</v>
      </c>
      <c r="Q110" s="79">
        <f t="shared" si="13"/>
        <v>16807.95453</v>
      </c>
      <c r="R110" s="80">
        <f t="shared" si="14"/>
        <v>5882.784085</v>
      </c>
      <c r="S110" s="79">
        <f t="shared" si="15"/>
        <v>10925.17044</v>
      </c>
      <c r="T110" s="79">
        <f t="shared" si="11"/>
        <v>11608.34544</v>
      </c>
      <c r="U110" s="7"/>
    </row>
    <row r="111">
      <c r="A111" s="7"/>
      <c r="B111" s="78">
        <v>10.0</v>
      </c>
      <c r="C111" s="79">
        <f>Financiero!$B$7*Financiero!$F$7</f>
        <v>41666.66667</v>
      </c>
      <c r="D111" s="82"/>
      <c r="E111" s="81"/>
      <c r="F111" s="80"/>
      <c r="G111" s="81"/>
      <c r="H111" s="81"/>
      <c r="I111" s="80">
        <f>Financiero!$I$3</f>
        <v>3935.200695</v>
      </c>
      <c r="J111" s="80">
        <f>Financiero!$I$2*Financiero!$F$7</f>
        <v>17820.60061</v>
      </c>
      <c r="K111" s="80">
        <f>(Financiero!$D$13+Financiero!$D$14+Financiero!$D$15)/12</f>
        <v>683.175</v>
      </c>
      <c r="L111" s="79">
        <f t="shared" si="12"/>
        <v>19227.69036</v>
      </c>
      <c r="M111" s="80">
        <f t="shared" si="3"/>
        <v>1541.666667</v>
      </c>
      <c r="N111" s="80">
        <f t="shared" si="4"/>
        <v>8750</v>
      </c>
      <c r="O111" s="79">
        <f t="shared" si="8"/>
        <v>4568.718275</v>
      </c>
      <c r="P111" s="87">
        <f t="shared" si="19"/>
        <v>878.0691623</v>
      </c>
      <c r="Q111" s="79">
        <f t="shared" si="13"/>
        <v>16807.95453</v>
      </c>
      <c r="R111" s="80">
        <f t="shared" si="14"/>
        <v>5882.784085</v>
      </c>
      <c r="S111" s="79">
        <f t="shared" si="15"/>
        <v>10925.17044</v>
      </c>
      <c r="T111" s="79">
        <f t="shared" si="11"/>
        <v>11608.34544</v>
      </c>
      <c r="U111" s="7"/>
    </row>
    <row r="112">
      <c r="A112" s="7"/>
      <c r="B112" s="78">
        <v>11.0</v>
      </c>
      <c r="C112" s="79">
        <f>Financiero!$B$7*Financiero!$F$7</f>
        <v>41666.66667</v>
      </c>
      <c r="D112" s="82"/>
      <c r="E112" s="81"/>
      <c r="F112" s="80"/>
      <c r="G112" s="81"/>
      <c r="H112" s="81"/>
      <c r="I112" s="80">
        <f>Financiero!$I$3</f>
        <v>3935.200695</v>
      </c>
      <c r="J112" s="80">
        <f>Financiero!$I$2*Financiero!$F$7</f>
        <v>17820.60061</v>
      </c>
      <c r="K112" s="80">
        <f>(Financiero!$D$13+Financiero!$D$14+Financiero!$D$15)/12</f>
        <v>683.175</v>
      </c>
      <c r="L112" s="79">
        <f t="shared" si="12"/>
        <v>19227.69036</v>
      </c>
      <c r="M112" s="80">
        <f t="shared" si="3"/>
        <v>1541.666667</v>
      </c>
      <c r="N112" s="80">
        <f t="shared" si="4"/>
        <v>8750</v>
      </c>
      <c r="O112" s="79">
        <f t="shared" si="8"/>
        <v>4568.718275</v>
      </c>
      <c r="P112" s="87">
        <f t="shared" si="19"/>
        <v>878.0691623</v>
      </c>
      <c r="Q112" s="79">
        <f t="shared" si="13"/>
        <v>16807.95453</v>
      </c>
      <c r="R112" s="80">
        <f t="shared" si="14"/>
        <v>5882.784085</v>
      </c>
      <c r="S112" s="79">
        <f t="shared" si="15"/>
        <v>10925.17044</v>
      </c>
      <c r="T112" s="79">
        <f t="shared" si="11"/>
        <v>11608.34544</v>
      </c>
      <c r="U112" s="7"/>
    </row>
    <row r="113">
      <c r="A113" s="10"/>
      <c r="B113" s="78">
        <v>12.0</v>
      </c>
      <c r="C113" s="79">
        <f>Financiero!$B$7*Financiero!$F$7</f>
        <v>41666.66667</v>
      </c>
      <c r="D113" s="82"/>
      <c r="E113" s="81"/>
      <c r="F113" s="80"/>
      <c r="G113" s="81"/>
      <c r="H113" s="81"/>
      <c r="I113" s="80">
        <f>Financiero!$I$3</f>
        <v>3935.200695</v>
      </c>
      <c r="J113" s="80">
        <f>Financiero!$I$2*Financiero!$F$7</f>
        <v>17820.60061</v>
      </c>
      <c r="K113" s="80">
        <f>(Financiero!$D$13+Financiero!$D$14+Financiero!$D$15)/12</f>
        <v>683.175</v>
      </c>
      <c r="L113" s="79">
        <f t="shared" si="12"/>
        <v>19227.69036</v>
      </c>
      <c r="M113" s="80">
        <f t="shared" si="3"/>
        <v>1541.666667</v>
      </c>
      <c r="N113" s="80">
        <f t="shared" si="4"/>
        <v>8750</v>
      </c>
      <c r="O113" s="79">
        <f t="shared" si="8"/>
        <v>4568.718275</v>
      </c>
      <c r="P113" s="87">
        <f t="shared" si="19"/>
        <v>878.0691623</v>
      </c>
      <c r="Q113" s="79">
        <f t="shared" si="13"/>
        <v>16807.95453</v>
      </c>
      <c r="R113" s="80">
        <f t="shared" si="14"/>
        <v>5882.784085</v>
      </c>
      <c r="S113" s="79">
        <f t="shared" si="15"/>
        <v>10925.17044</v>
      </c>
      <c r="T113" s="79">
        <f t="shared" si="11"/>
        <v>11608.34544</v>
      </c>
      <c r="U113" s="10"/>
    </row>
    <row r="114">
      <c r="A114" s="85">
        <v>9.0</v>
      </c>
      <c r="B114" s="78">
        <v>1.0</v>
      </c>
      <c r="C114" s="79">
        <f>Financiero!$B$7*Financiero!$F$7</f>
        <v>41666.66667</v>
      </c>
      <c r="D114" s="82"/>
      <c r="E114" s="81"/>
      <c r="F114" s="80"/>
      <c r="G114" s="81"/>
      <c r="H114" s="81"/>
      <c r="I114" s="80">
        <f>Financiero!$I$3</f>
        <v>3935.200695</v>
      </c>
      <c r="J114" s="80">
        <f>Financiero!$I$2*Financiero!$F$7</f>
        <v>17820.60061</v>
      </c>
      <c r="K114" s="80">
        <f>(Financiero!$D$13+Financiero!$D$14+Financiero!$D$15)/12</f>
        <v>683.175</v>
      </c>
      <c r="L114" s="79">
        <f t="shared" si="12"/>
        <v>19227.69036</v>
      </c>
      <c r="M114" s="80">
        <f t="shared" si="3"/>
        <v>1541.666667</v>
      </c>
      <c r="N114" s="80">
        <f t="shared" si="4"/>
        <v>8750</v>
      </c>
      <c r="O114" s="79">
        <f t="shared" si="8"/>
        <v>4568.718275</v>
      </c>
      <c r="P114" s="87">
        <f t="shared" si="19"/>
        <v>878.0691623</v>
      </c>
      <c r="Q114" s="79">
        <f t="shared" si="13"/>
        <v>16807.95453</v>
      </c>
      <c r="R114" s="80">
        <f t="shared" si="14"/>
        <v>5882.784085</v>
      </c>
      <c r="S114" s="79">
        <f t="shared" si="15"/>
        <v>10925.17044</v>
      </c>
      <c r="T114" s="79">
        <f t="shared" si="11"/>
        <v>11608.34544</v>
      </c>
      <c r="U114" s="86">
        <f>SUM(T114:T125)</f>
        <v>139300.1453</v>
      </c>
    </row>
    <row r="115">
      <c r="A115" s="7"/>
      <c r="B115" s="78">
        <v>2.0</v>
      </c>
      <c r="C115" s="79">
        <f>Financiero!$B$7*Financiero!$F$7</f>
        <v>41666.66667</v>
      </c>
      <c r="D115" s="82"/>
      <c r="E115" s="81"/>
      <c r="F115" s="80"/>
      <c r="G115" s="81"/>
      <c r="H115" s="81"/>
      <c r="I115" s="80">
        <f>Financiero!$I$3</f>
        <v>3935.200695</v>
      </c>
      <c r="J115" s="80">
        <f>Financiero!$I$2*Financiero!$F$7</f>
        <v>17820.60061</v>
      </c>
      <c r="K115" s="80">
        <f>(Financiero!$D$13+Financiero!$D$14+Financiero!$D$15)/12</f>
        <v>683.175</v>
      </c>
      <c r="L115" s="79">
        <f t="shared" si="12"/>
        <v>19227.69036</v>
      </c>
      <c r="M115" s="80">
        <f t="shared" si="3"/>
        <v>1541.666667</v>
      </c>
      <c r="N115" s="80">
        <f t="shared" si="4"/>
        <v>8750</v>
      </c>
      <c r="O115" s="79">
        <f t="shared" si="8"/>
        <v>4568.718275</v>
      </c>
      <c r="P115" s="87">
        <f t="shared" si="19"/>
        <v>878.0691623</v>
      </c>
      <c r="Q115" s="79">
        <f t="shared" si="13"/>
        <v>16807.95453</v>
      </c>
      <c r="R115" s="80">
        <f t="shared" si="14"/>
        <v>5882.784085</v>
      </c>
      <c r="S115" s="79">
        <f t="shared" si="15"/>
        <v>10925.17044</v>
      </c>
      <c r="T115" s="79">
        <f t="shared" si="11"/>
        <v>11608.34544</v>
      </c>
      <c r="U115" s="7"/>
    </row>
    <row r="116">
      <c r="A116" s="7"/>
      <c r="B116" s="78">
        <v>3.0</v>
      </c>
      <c r="C116" s="79">
        <f>Financiero!$B$7*Financiero!$F$7</f>
        <v>41666.66667</v>
      </c>
      <c r="D116" s="82"/>
      <c r="E116" s="81"/>
      <c r="F116" s="80"/>
      <c r="G116" s="81"/>
      <c r="H116" s="81"/>
      <c r="I116" s="80">
        <f>Financiero!$I$3</f>
        <v>3935.200695</v>
      </c>
      <c r="J116" s="80">
        <f>Financiero!$I$2*Financiero!$F$7</f>
        <v>17820.60061</v>
      </c>
      <c r="K116" s="80">
        <f>(Financiero!$D$13+Financiero!$D$14+Financiero!$D$15)/12</f>
        <v>683.175</v>
      </c>
      <c r="L116" s="79">
        <f t="shared" si="12"/>
        <v>19227.69036</v>
      </c>
      <c r="M116" s="80">
        <f t="shared" si="3"/>
        <v>1541.666667</v>
      </c>
      <c r="N116" s="80">
        <f t="shared" si="4"/>
        <v>8750</v>
      </c>
      <c r="O116" s="79">
        <f t="shared" si="8"/>
        <v>4568.718275</v>
      </c>
      <c r="P116" s="87">
        <f t="shared" si="19"/>
        <v>878.0691623</v>
      </c>
      <c r="Q116" s="79">
        <f t="shared" si="13"/>
        <v>16807.95453</v>
      </c>
      <c r="R116" s="80">
        <f t="shared" si="14"/>
        <v>5882.784085</v>
      </c>
      <c r="S116" s="79">
        <f t="shared" si="15"/>
        <v>10925.17044</v>
      </c>
      <c r="T116" s="79">
        <f t="shared" si="11"/>
        <v>11608.34544</v>
      </c>
      <c r="U116" s="7"/>
    </row>
    <row r="117">
      <c r="A117" s="7"/>
      <c r="B117" s="78">
        <v>4.0</v>
      </c>
      <c r="C117" s="79">
        <f>Financiero!$B$7*Financiero!$F$7</f>
        <v>41666.66667</v>
      </c>
      <c r="D117" s="82"/>
      <c r="E117" s="81"/>
      <c r="F117" s="80"/>
      <c r="G117" s="81"/>
      <c r="H117" s="81"/>
      <c r="I117" s="80">
        <f>Financiero!$I$3</f>
        <v>3935.200695</v>
      </c>
      <c r="J117" s="80">
        <f>Financiero!$I$2*Financiero!$F$7</f>
        <v>17820.60061</v>
      </c>
      <c r="K117" s="80">
        <f>(Financiero!$D$13+Financiero!$D$14+Financiero!$D$15)/12</f>
        <v>683.175</v>
      </c>
      <c r="L117" s="79">
        <f t="shared" si="12"/>
        <v>19227.69036</v>
      </c>
      <c r="M117" s="80">
        <f t="shared" si="3"/>
        <v>1541.666667</v>
      </c>
      <c r="N117" s="80">
        <f t="shared" si="4"/>
        <v>8750</v>
      </c>
      <c r="O117" s="79">
        <f t="shared" si="8"/>
        <v>4568.718275</v>
      </c>
      <c r="P117" s="87">
        <f t="shared" si="19"/>
        <v>878.0691623</v>
      </c>
      <c r="Q117" s="79">
        <f t="shared" si="13"/>
        <v>16807.95453</v>
      </c>
      <c r="R117" s="80">
        <f t="shared" si="14"/>
        <v>5882.784085</v>
      </c>
      <c r="S117" s="79">
        <f t="shared" si="15"/>
        <v>10925.17044</v>
      </c>
      <c r="T117" s="79">
        <f t="shared" si="11"/>
        <v>11608.34544</v>
      </c>
      <c r="U117" s="7"/>
    </row>
    <row r="118">
      <c r="A118" s="7"/>
      <c r="B118" s="78">
        <v>5.0</v>
      </c>
      <c r="C118" s="79">
        <f>Financiero!$B$7*Financiero!$F$7</f>
        <v>41666.66667</v>
      </c>
      <c r="D118" s="82"/>
      <c r="E118" s="81"/>
      <c r="F118" s="80"/>
      <c r="G118" s="81"/>
      <c r="H118" s="81"/>
      <c r="I118" s="80">
        <f>Financiero!$I$3</f>
        <v>3935.200695</v>
      </c>
      <c r="J118" s="80">
        <f>Financiero!$I$2*Financiero!$F$7</f>
        <v>17820.60061</v>
      </c>
      <c r="K118" s="80">
        <f>(Financiero!$D$13+Financiero!$D$14+Financiero!$D$15)/12</f>
        <v>683.175</v>
      </c>
      <c r="L118" s="79">
        <f t="shared" si="12"/>
        <v>19227.69036</v>
      </c>
      <c r="M118" s="80">
        <f t="shared" si="3"/>
        <v>1541.666667</v>
      </c>
      <c r="N118" s="80">
        <f t="shared" si="4"/>
        <v>8750</v>
      </c>
      <c r="O118" s="79">
        <f t="shared" si="8"/>
        <v>4568.718275</v>
      </c>
      <c r="P118" s="87">
        <f t="shared" si="19"/>
        <v>878.0691623</v>
      </c>
      <c r="Q118" s="79">
        <f t="shared" si="13"/>
        <v>16807.95453</v>
      </c>
      <c r="R118" s="80">
        <f t="shared" si="14"/>
        <v>5882.784085</v>
      </c>
      <c r="S118" s="79">
        <f t="shared" si="15"/>
        <v>10925.17044</v>
      </c>
      <c r="T118" s="79">
        <f t="shared" si="11"/>
        <v>11608.34544</v>
      </c>
      <c r="U118" s="7"/>
    </row>
    <row r="119">
      <c r="A119" s="7"/>
      <c r="B119" s="78">
        <v>6.0</v>
      </c>
      <c r="C119" s="79">
        <f>Financiero!$B$7*Financiero!$F$7</f>
        <v>41666.66667</v>
      </c>
      <c r="D119" s="82"/>
      <c r="E119" s="81"/>
      <c r="F119" s="80"/>
      <c r="G119" s="81"/>
      <c r="H119" s="81"/>
      <c r="I119" s="80">
        <f>Financiero!$I$3</f>
        <v>3935.200695</v>
      </c>
      <c r="J119" s="80">
        <f>Financiero!$I$2*Financiero!$F$7</f>
        <v>17820.60061</v>
      </c>
      <c r="K119" s="80">
        <f>(Financiero!$D$13+Financiero!$D$14+Financiero!$D$15)/12</f>
        <v>683.175</v>
      </c>
      <c r="L119" s="79">
        <f t="shared" si="12"/>
        <v>19227.69036</v>
      </c>
      <c r="M119" s="80">
        <f t="shared" si="3"/>
        <v>1541.666667</v>
      </c>
      <c r="N119" s="80">
        <f t="shared" si="4"/>
        <v>8750</v>
      </c>
      <c r="O119" s="79">
        <f t="shared" si="8"/>
        <v>4568.718275</v>
      </c>
      <c r="P119" s="87">
        <f t="shared" si="19"/>
        <v>878.0691623</v>
      </c>
      <c r="Q119" s="79">
        <f t="shared" si="13"/>
        <v>16807.95453</v>
      </c>
      <c r="R119" s="80">
        <f t="shared" si="14"/>
        <v>5882.784085</v>
      </c>
      <c r="S119" s="79">
        <f t="shared" si="15"/>
        <v>10925.17044</v>
      </c>
      <c r="T119" s="79">
        <f t="shared" si="11"/>
        <v>11608.34544</v>
      </c>
      <c r="U119" s="7"/>
    </row>
    <row r="120">
      <c r="A120" s="7"/>
      <c r="B120" s="78">
        <v>7.0</v>
      </c>
      <c r="C120" s="79">
        <f>Financiero!$B$7*Financiero!$F$7</f>
        <v>41666.66667</v>
      </c>
      <c r="D120" s="82"/>
      <c r="E120" s="81"/>
      <c r="F120" s="80"/>
      <c r="G120" s="81"/>
      <c r="H120" s="81"/>
      <c r="I120" s="80">
        <f>Financiero!$I$3</f>
        <v>3935.200695</v>
      </c>
      <c r="J120" s="80">
        <f>Financiero!$I$2*Financiero!$F$7</f>
        <v>17820.60061</v>
      </c>
      <c r="K120" s="80">
        <f>(Financiero!$D$13+Financiero!$D$14+Financiero!$D$15)/12</f>
        <v>683.175</v>
      </c>
      <c r="L120" s="79">
        <f t="shared" si="12"/>
        <v>19227.69036</v>
      </c>
      <c r="M120" s="80">
        <f t="shared" si="3"/>
        <v>1541.666667</v>
      </c>
      <c r="N120" s="80">
        <f t="shared" si="4"/>
        <v>8750</v>
      </c>
      <c r="O120" s="79">
        <f t="shared" si="8"/>
        <v>4568.718275</v>
      </c>
      <c r="P120" s="87">
        <f t="shared" si="19"/>
        <v>878.0691623</v>
      </c>
      <c r="Q120" s="79">
        <f t="shared" si="13"/>
        <v>16807.95453</v>
      </c>
      <c r="R120" s="80">
        <f t="shared" si="14"/>
        <v>5882.784085</v>
      </c>
      <c r="S120" s="79">
        <f t="shared" si="15"/>
        <v>10925.17044</v>
      </c>
      <c r="T120" s="79">
        <f t="shared" si="11"/>
        <v>11608.34544</v>
      </c>
      <c r="U120" s="7"/>
    </row>
    <row r="121">
      <c r="A121" s="7"/>
      <c r="B121" s="78">
        <v>8.0</v>
      </c>
      <c r="C121" s="79">
        <f>Financiero!$B$7*Financiero!$F$7</f>
        <v>41666.66667</v>
      </c>
      <c r="D121" s="82"/>
      <c r="E121" s="81"/>
      <c r="F121" s="80"/>
      <c r="G121" s="81"/>
      <c r="H121" s="81"/>
      <c r="I121" s="80">
        <f>Financiero!$I$3</f>
        <v>3935.200695</v>
      </c>
      <c r="J121" s="80">
        <f>Financiero!$I$2*Financiero!$F$7</f>
        <v>17820.60061</v>
      </c>
      <c r="K121" s="80">
        <f>(Financiero!$D$13+Financiero!$D$14+Financiero!$D$15)/12</f>
        <v>683.175</v>
      </c>
      <c r="L121" s="79">
        <f t="shared" si="12"/>
        <v>19227.69036</v>
      </c>
      <c r="M121" s="80">
        <f t="shared" si="3"/>
        <v>1541.666667</v>
      </c>
      <c r="N121" s="80">
        <f t="shared" si="4"/>
        <v>8750</v>
      </c>
      <c r="O121" s="79">
        <f t="shared" si="8"/>
        <v>4568.718275</v>
      </c>
      <c r="P121" s="87">
        <f t="shared" si="19"/>
        <v>878.0691623</v>
      </c>
      <c r="Q121" s="79">
        <f t="shared" si="13"/>
        <v>16807.95453</v>
      </c>
      <c r="R121" s="80">
        <f t="shared" si="14"/>
        <v>5882.784085</v>
      </c>
      <c r="S121" s="79">
        <f t="shared" si="15"/>
        <v>10925.17044</v>
      </c>
      <c r="T121" s="79">
        <f t="shared" si="11"/>
        <v>11608.34544</v>
      </c>
      <c r="U121" s="7"/>
    </row>
    <row r="122">
      <c r="A122" s="7"/>
      <c r="B122" s="78">
        <v>9.0</v>
      </c>
      <c r="C122" s="79">
        <f>Financiero!$B$7*Financiero!$F$7</f>
        <v>41666.66667</v>
      </c>
      <c r="D122" s="82"/>
      <c r="E122" s="81"/>
      <c r="F122" s="80"/>
      <c r="G122" s="81"/>
      <c r="H122" s="81"/>
      <c r="I122" s="80">
        <f>Financiero!$I$3</f>
        <v>3935.200695</v>
      </c>
      <c r="J122" s="80">
        <f>Financiero!$I$2*Financiero!$F$7</f>
        <v>17820.60061</v>
      </c>
      <c r="K122" s="80">
        <f>(Financiero!$D$13+Financiero!$D$14+Financiero!$D$15)/12</f>
        <v>683.175</v>
      </c>
      <c r="L122" s="79">
        <f t="shared" si="12"/>
        <v>19227.69036</v>
      </c>
      <c r="M122" s="80">
        <f t="shared" si="3"/>
        <v>1541.666667</v>
      </c>
      <c r="N122" s="80">
        <f t="shared" si="4"/>
        <v>8750</v>
      </c>
      <c r="O122" s="79">
        <f t="shared" si="8"/>
        <v>4568.718275</v>
      </c>
      <c r="P122" s="87">
        <f t="shared" si="19"/>
        <v>878.0691623</v>
      </c>
      <c r="Q122" s="79">
        <f t="shared" si="13"/>
        <v>16807.95453</v>
      </c>
      <c r="R122" s="80">
        <f t="shared" si="14"/>
        <v>5882.784085</v>
      </c>
      <c r="S122" s="79">
        <f t="shared" si="15"/>
        <v>10925.17044</v>
      </c>
      <c r="T122" s="79">
        <f t="shared" si="11"/>
        <v>11608.34544</v>
      </c>
      <c r="U122" s="7"/>
    </row>
    <row r="123">
      <c r="A123" s="7"/>
      <c r="B123" s="78">
        <v>10.0</v>
      </c>
      <c r="C123" s="79">
        <f>Financiero!$B$7*Financiero!$F$7</f>
        <v>41666.66667</v>
      </c>
      <c r="D123" s="82"/>
      <c r="E123" s="81"/>
      <c r="F123" s="80"/>
      <c r="G123" s="81"/>
      <c r="H123" s="81"/>
      <c r="I123" s="80">
        <f>Financiero!$I$3</f>
        <v>3935.200695</v>
      </c>
      <c r="J123" s="80">
        <f>Financiero!$I$2*Financiero!$F$7</f>
        <v>17820.60061</v>
      </c>
      <c r="K123" s="80">
        <f>(Financiero!$D$13+Financiero!$D$14+Financiero!$D$15)/12</f>
        <v>683.175</v>
      </c>
      <c r="L123" s="79">
        <f t="shared" si="12"/>
        <v>19227.69036</v>
      </c>
      <c r="M123" s="80">
        <f t="shared" si="3"/>
        <v>1541.666667</v>
      </c>
      <c r="N123" s="80">
        <f t="shared" si="4"/>
        <v>8750</v>
      </c>
      <c r="O123" s="79">
        <f t="shared" si="8"/>
        <v>4568.718275</v>
      </c>
      <c r="P123" s="87">
        <f t="shared" si="19"/>
        <v>878.0691623</v>
      </c>
      <c r="Q123" s="79">
        <f t="shared" si="13"/>
        <v>16807.95453</v>
      </c>
      <c r="R123" s="80">
        <f t="shared" si="14"/>
        <v>5882.784085</v>
      </c>
      <c r="S123" s="79">
        <f t="shared" si="15"/>
        <v>10925.17044</v>
      </c>
      <c r="T123" s="79">
        <f t="shared" si="11"/>
        <v>11608.34544</v>
      </c>
      <c r="U123" s="7"/>
    </row>
    <row r="124">
      <c r="A124" s="7"/>
      <c r="B124" s="78">
        <v>11.0</v>
      </c>
      <c r="C124" s="79">
        <f>Financiero!$B$7*Financiero!$F$7</f>
        <v>41666.66667</v>
      </c>
      <c r="D124" s="82"/>
      <c r="E124" s="81"/>
      <c r="F124" s="80"/>
      <c r="G124" s="81"/>
      <c r="H124" s="81"/>
      <c r="I124" s="80">
        <f>Financiero!$I$3</f>
        <v>3935.200695</v>
      </c>
      <c r="J124" s="80">
        <f>Financiero!$I$2*Financiero!$F$7</f>
        <v>17820.60061</v>
      </c>
      <c r="K124" s="80">
        <f>(Financiero!$D$13+Financiero!$D$14+Financiero!$D$15)/12</f>
        <v>683.175</v>
      </c>
      <c r="L124" s="79">
        <f t="shared" si="12"/>
        <v>19227.69036</v>
      </c>
      <c r="M124" s="80">
        <f t="shared" si="3"/>
        <v>1541.666667</v>
      </c>
      <c r="N124" s="80">
        <f t="shared" si="4"/>
        <v>8750</v>
      </c>
      <c r="O124" s="79">
        <f t="shared" si="8"/>
        <v>4568.718275</v>
      </c>
      <c r="P124" s="87">
        <f t="shared" si="19"/>
        <v>878.0691623</v>
      </c>
      <c r="Q124" s="79">
        <f t="shared" si="13"/>
        <v>16807.95453</v>
      </c>
      <c r="R124" s="80">
        <f t="shared" si="14"/>
        <v>5882.784085</v>
      </c>
      <c r="S124" s="79">
        <f t="shared" si="15"/>
        <v>10925.17044</v>
      </c>
      <c r="T124" s="79">
        <f t="shared" si="11"/>
        <v>11608.34544</v>
      </c>
      <c r="U124" s="7"/>
    </row>
    <row r="125">
      <c r="A125" s="10"/>
      <c r="B125" s="78">
        <v>12.0</v>
      </c>
      <c r="C125" s="79">
        <f>Financiero!$B$7*Financiero!$F$7</f>
        <v>41666.66667</v>
      </c>
      <c r="D125" s="82"/>
      <c r="E125" s="81"/>
      <c r="F125" s="80"/>
      <c r="G125" s="81"/>
      <c r="H125" s="81"/>
      <c r="I125" s="80">
        <f>Financiero!$I$3</f>
        <v>3935.200695</v>
      </c>
      <c r="J125" s="80">
        <f>Financiero!$I$2*Financiero!$F$7</f>
        <v>17820.60061</v>
      </c>
      <c r="K125" s="80">
        <f>(Financiero!$D$13+Financiero!$D$14+Financiero!$D$15)/12</f>
        <v>683.175</v>
      </c>
      <c r="L125" s="79">
        <f t="shared" si="12"/>
        <v>19227.69036</v>
      </c>
      <c r="M125" s="80">
        <f t="shared" si="3"/>
        <v>1541.666667</v>
      </c>
      <c r="N125" s="80">
        <f t="shared" si="4"/>
        <v>8750</v>
      </c>
      <c r="O125" s="79">
        <f t="shared" si="8"/>
        <v>4568.718275</v>
      </c>
      <c r="P125" s="87">
        <f t="shared" si="19"/>
        <v>878.0691623</v>
      </c>
      <c r="Q125" s="79">
        <f t="shared" si="13"/>
        <v>16807.95453</v>
      </c>
      <c r="R125" s="80">
        <f t="shared" si="14"/>
        <v>5882.784085</v>
      </c>
      <c r="S125" s="79">
        <f t="shared" si="15"/>
        <v>10925.17044</v>
      </c>
      <c r="T125" s="79">
        <f t="shared" si="11"/>
        <v>11608.34544</v>
      </c>
      <c r="U125" s="10"/>
    </row>
    <row r="126">
      <c r="A126" s="85">
        <v>10.0</v>
      </c>
      <c r="B126" s="78">
        <v>1.0</v>
      </c>
      <c r="C126" s="79">
        <f>Financiero!$B$7*Financiero!$F$7</f>
        <v>41666.66667</v>
      </c>
      <c r="D126" s="82"/>
      <c r="E126" s="81"/>
      <c r="F126" s="80"/>
      <c r="G126" s="81"/>
      <c r="H126" s="81"/>
      <c r="I126" s="80">
        <f>Financiero!$I$3</f>
        <v>3935.200695</v>
      </c>
      <c r="J126" s="80">
        <f>Financiero!$I$2*Financiero!$F$7</f>
        <v>17820.60061</v>
      </c>
      <c r="K126" s="80">
        <f>(Financiero!$D$13+Financiero!$D$14+Financiero!$D$15)/12</f>
        <v>683.175</v>
      </c>
      <c r="L126" s="79">
        <f t="shared" si="12"/>
        <v>19227.69036</v>
      </c>
      <c r="M126" s="80">
        <f t="shared" si="3"/>
        <v>1541.666667</v>
      </c>
      <c r="N126" s="80">
        <f t="shared" si="4"/>
        <v>8750</v>
      </c>
      <c r="O126" s="79">
        <f t="shared" si="8"/>
        <v>4568.718275</v>
      </c>
      <c r="P126" s="87">
        <f t="shared" si="19"/>
        <v>878.0691623</v>
      </c>
      <c r="Q126" s="79">
        <f t="shared" si="13"/>
        <v>16807.95453</v>
      </c>
      <c r="R126" s="80">
        <f t="shared" si="14"/>
        <v>5882.784085</v>
      </c>
      <c r="S126" s="79">
        <f t="shared" si="15"/>
        <v>10925.17044</v>
      </c>
      <c r="T126" s="79">
        <f t="shared" si="11"/>
        <v>11608.34544</v>
      </c>
      <c r="U126" s="86">
        <f>SUM(T126:T137)</f>
        <v>139300.1453</v>
      </c>
    </row>
    <row r="127">
      <c r="A127" s="7"/>
      <c r="B127" s="78">
        <v>2.0</v>
      </c>
      <c r="C127" s="79">
        <f>Financiero!$B$7*Financiero!$F$7</f>
        <v>41666.66667</v>
      </c>
      <c r="D127" s="82"/>
      <c r="E127" s="81"/>
      <c r="F127" s="80"/>
      <c r="G127" s="81"/>
      <c r="H127" s="81"/>
      <c r="I127" s="80">
        <f>Financiero!$I$3</f>
        <v>3935.200695</v>
      </c>
      <c r="J127" s="80">
        <f>Financiero!$I$2*Financiero!$F$7</f>
        <v>17820.60061</v>
      </c>
      <c r="K127" s="80">
        <f>(Financiero!$D$13+Financiero!$D$14+Financiero!$D$15)/12</f>
        <v>683.175</v>
      </c>
      <c r="L127" s="79">
        <f t="shared" si="12"/>
        <v>19227.69036</v>
      </c>
      <c r="M127" s="80">
        <f t="shared" si="3"/>
        <v>1541.666667</v>
      </c>
      <c r="N127" s="80">
        <f t="shared" si="4"/>
        <v>8750</v>
      </c>
      <c r="O127" s="79">
        <f t="shared" si="8"/>
        <v>4568.718275</v>
      </c>
      <c r="P127" s="87">
        <f t="shared" si="19"/>
        <v>878.0691623</v>
      </c>
      <c r="Q127" s="79">
        <f t="shared" si="13"/>
        <v>16807.95453</v>
      </c>
      <c r="R127" s="80">
        <f t="shared" si="14"/>
        <v>5882.784085</v>
      </c>
      <c r="S127" s="79">
        <f t="shared" si="15"/>
        <v>10925.17044</v>
      </c>
      <c r="T127" s="79">
        <f t="shared" si="11"/>
        <v>11608.34544</v>
      </c>
      <c r="U127" s="7"/>
    </row>
    <row r="128">
      <c r="A128" s="7"/>
      <c r="B128" s="78">
        <v>3.0</v>
      </c>
      <c r="C128" s="79">
        <f>Financiero!$B$7*Financiero!$F$7</f>
        <v>41666.66667</v>
      </c>
      <c r="D128" s="82"/>
      <c r="E128" s="81"/>
      <c r="F128" s="80"/>
      <c r="G128" s="81"/>
      <c r="H128" s="81"/>
      <c r="I128" s="80">
        <f>Financiero!$I$3</f>
        <v>3935.200695</v>
      </c>
      <c r="J128" s="80">
        <f>Financiero!$I$2*Financiero!$F$7</f>
        <v>17820.60061</v>
      </c>
      <c r="K128" s="80">
        <f>(Financiero!$D$13+Financiero!$D$14+Financiero!$D$15)/12</f>
        <v>683.175</v>
      </c>
      <c r="L128" s="79">
        <f t="shared" si="12"/>
        <v>19227.69036</v>
      </c>
      <c r="M128" s="80">
        <f t="shared" si="3"/>
        <v>1541.666667</v>
      </c>
      <c r="N128" s="80">
        <f t="shared" si="4"/>
        <v>8750</v>
      </c>
      <c r="O128" s="79">
        <f t="shared" si="8"/>
        <v>4568.718275</v>
      </c>
      <c r="P128" s="87">
        <f t="shared" si="19"/>
        <v>878.0691623</v>
      </c>
      <c r="Q128" s="79">
        <f t="shared" si="13"/>
        <v>16807.95453</v>
      </c>
      <c r="R128" s="80">
        <f t="shared" si="14"/>
        <v>5882.784085</v>
      </c>
      <c r="S128" s="79">
        <f t="shared" si="15"/>
        <v>10925.17044</v>
      </c>
      <c r="T128" s="79">
        <f t="shared" si="11"/>
        <v>11608.34544</v>
      </c>
      <c r="U128" s="7"/>
    </row>
    <row r="129">
      <c r="A129" s="7"/>
      <c r="B129" s="78">
        <v>4.0</v>
      </c>
      <c r="C129" s="79">
        <f>Financiero!$B$7*Financiero!$F$7</f>
        <v>41666.66667</v>
      </c>
      <c r="D129" s="82"/>
      <c r="E129" s="81"/>
      <c r="F129" s="80"/>
      <c r="G129" s="81"/>
      <c r="H129" s="81"/>
      <c r="I129" s="80">
        <f>Financiero!$I$3</f>
        <v>3935.200695</v>
      </c>
      <c r="J129" s="80">
        <f>Financiero!$I$2*Financiero!$F$7</f>
        <v>17820.60061</v>
      </c>
      <c r="K129" s="80">
        <f>(Financiero!$D$13+Financiero!$D$14+Financiero!$D$15)/12</f>
        <v>683.175</v>
      </c>
      <c r="L129" s="79">
        <f t="shared" si="12"/>
        <v>19227.69036</v>
      </c>
      <c r="M129" s="80">
        <f t="shared" si="3"/>
        <v>1541.666667</v>
      </c>
      <c r="N129" s="80">
        <f t="shared" si="4"/>
        <v>8750</v>
      </c>
      <c r="O129" s="79">
        <f t="shared" si="8"/>
        <v>4568.718275</v>
      </c>
      <c r="P129" s="87">
        <f t="shared" si="19"/>
        <v>878.0691623</v>
      </c>
      <c r="Q129" s="79">
        <f t="shared" si="13"/>
        <v>16807.95453</v>
      </c>
      <c r="R129" s="80">
        <f t="shared" si="14"/>
        <v>5882.784085</v>
      </c>
      <c r="S129" s="79">
        <f t="shared" si="15"/>
        <v>10925.17044</v>
      </c>
      <c r="T129" s="79">
        <f t="shared" si="11"/>
        <v>11608.34544</v>
      </c>
      <c r="U129" s="7"/>
    </row>
    <row r="130">
      <c r="A130" s="7"/>
      <c r="B130" s="78">
        <v>5.0</v>
      </c>
      <c r="C130" s="79">
        <f>Financiero!$B$7*Financiero!$F$7</f>
        <v>41666.66667</v>
      </c>
      <c r="D130" s="82"/>
      <c r="E130" s="81"/>
      <c r="F130" s="80"/>
      <c r="G130" s="81"/>
      <c r="H130" s="81"/>
      <c r="I130" s="80">
        <f>Financiero!$I$3</f>
        <v>3935.200695</v>
      </c>
      <c r="J130" s="80">
        <f>Financiero!$I$2*Financiero!$F$7</f>
        <v>17820.60061</v>
      </c>
      <c r="K130" s="80">
        <f>(Financiero!$D$13+Financiero!$D$14+Financiero!$D$15)/12</f>
        <v>683.175</v>
      </c>
      <c r="L130" s="79">
        <f t="shared" si="12"/>
        <v>19227.69036</v>
      </c>
      <c r="M130" s="80">
        <f t="shared" si="3"/>
        <v>1541.666667</v>
      </c>
      <c r="N130" s="80">
        <f t="shared" si="4"/>
        <v>8750</v>
      </c>
      <c r="O130" s="79">
        <f t="shared" si="8"/>
        <v>4568.718275</v>
      </c>
      <c r="P130" s="87">
        <f t="shared" si="19"/>
        <v>878.0691623</v>
      </c>
      <c r="Q130" s="79">
        <f t="shared" si="13"/>
        <v>16807.95453</v>
      </c>
      <c r="R130" s="80">
        <f t="shared" si="14"/>
        <v>5882.784085</v>
      </c>
      <c r="S130" s="79">
        <f t="shared" si="15"/>
        <v>10925.17044</v>
      </c>
      <c r="T130" s="79">
        <f t="shared" si="11"/>
        <v>11608.34544</v>
      </c>
      <c r="U130" s="7"/>
    </row>
    <row r="131">
      <c r="A131" s="7"/>
      <c r="B131" s="78">
        <v>6.0</v>
      </c>
      <c r="C131" s="79">
        <f>Financiero!$B$7*Financiero!$F$7</f>
        <v>41666.66667</v>
      </c>
      <c r="D131" s="82"/>
      <c r="E131" s="81"/>
      <c r="F131" s="80"/>
      <c r="G131" s="81"/>
      <c r="H131" s="81"/>
      <c r="I131" s="80">
        <f>Financiero!$I$3</f>
        <v>3935.200695</v>
      </c>
      <c r="J131" s="80">
        <f>Financiero!$I$2*Financiero!$F$7</f>
        <v>17820.60061</v>
      </c>
      <c r="K131" s="80">
        <f>(Financiero!$D$13+Financiero!$D$14+Financiero!$D$15)/12</f>
        <v>683.175</v>
      </c>
      <c r="L131" s="79">
        <f t="shared" si="12"/>
        <v>19227.69036</v>
      </c>
      <c r="M131" s="80">
        <f t="shared" si="3"/>
        <v>1541.666667</v>
      </c>
      <c r="N131" s="80">
        <f t="shared" si="4"/>
        <v>8750</v>
      </c>
      <c r="O131" s="79">
        <f t="shared" si="8"/>
        <v>4568.718275</v>
      </c>
      <c r="P131" s="87">
        <f t="shared" si="19"/>
        <v>878.0691623</v>
      </c>
      <c r="Q131" s="79">
        <f t="shared" si="13"/>
        <v>16807.95453</v>
      </c>
      <c r="R131" s="80">
        <f t="shared" si="14"/>
        <v>5882.784085</v>
      </c>
      <c r="S131" s="79">
        <f t="shared" si="15"/>
        <v>10925.17044</v>
      </c>
      <c r="T131" s="79">
        <f t="shared" si="11"/>
        <v>11608.34544</v>
      </c>
      <c r="U131" s="7"/>
    </row>
    <row r="132">
      <c r="A132" s="7"/>
      <c r="B132" s="78">
        <v>7.0</v>
      </c>
      <c r="C132" s="79">
        <f>Financiero!$B$7*Financiero!$F$7</f>
        <v>41666.66667</v>
      </c>
      <c r="D132" s="82"/>
      <c r="E132" s="81"/>
      <c r="F132" s="80"/>
      <c r="G132" s="81"/>
      <c r="H132" s="81"/>
      <c r="I132" s="80">
        <f>Financiero!$I$3</f>
        <v>3935.200695</v>
      </c>
      <c r="J132" s="80">
        <f>Financiero!$I$2*Financiero!$F$7</f>
        <v>17820.60061</v>
      </c>
      <c r="K132" s="80">
        <f>(Financiero!$D$13+Financiero!$D$14+Financiero!$D$15)/12</f>
        <v>683.175</v>
      </c>
      <c r="L132" s="79">
        <f t="shared" si="12"/>
        <v>19227.69036</v>
      </c>
      <c r="M132" s="80">
        <f t="shared" si="3"/>
        <v>1541.666667</v>
      </c>
      <c r="N132" s="80">
        <f t="shared" si="4"/>
        <v>8750</v>
      </c>
      <c r="O132" s="79">
        <f t="shared" si="8"/>
        <v>4568.718275</v>
      </c>
      <c r="P132" s="87">
        <f t="shared" si="19"/>
        <v>878.0691623</v>
      </c>
      <c r="Q132" s="79">
        <f t="shared" si="13"/>
        <v>16807.95453</v>
      </c>
      <c r="R132" s="80">
        <f t="shared" si="14"/>
        <v>5882.784085</v>
      </c>
      <c r="S132" s="79">
        <f t="shared" si="15"/>
        <v>10925.17044</v>
      </c>
      <c r="T132" s="79">
        <f t="shared" si="11"/>
        <v>11608.34544</v>
      </c>
      <c r="U132" s="7"/>
    </row>
    <row r="133">
      <c r="A133" s="7"/>
      <c r="B133" s="78">
        <v>8.0</v>
      </c>
      <c r="C133" s="79">
        <f>Financiero!$B$7*Financiero!$F$7</f>
        <v>41666.66667</v>
      </c>
      <c r="D133" s="82"/>
      <c r="E133" s="81"/>
      <c r="F133" s="80"/>
      <c r="G133" s="81"/>
      <c r="H133" s="81"/>
      <c r="I133" s="80">
        <f>Financiero!$I$3</f>
        <v>3935.200695</v>
      </c>
      <c r="J133" s="80">
        <f>Financiero!$I$2*Financiero!$F$7</f>
        <v>17820.60061</v>
      </c>
      <c r="K133" s="80">
        <f>(Financiero!$D$13+Financiero!$D$14+Financiero!$D$15)/12</f>
        <v>683.175</v>
      </c>
      <c r="L133" s="79">
        <f t="shared" si="12"/>
        <v>19227.69036</v>
      </c>
      <c r="M133" s="80">
        <f t="shared" si="3"/>
        <v>1541.666667</v>
      </c>
      <c r="N133" s="80">
        <f t="shared" si="4"/>
        <v>8750</v>
      </c>
      <c r="O133" s="79">
        <f t="shared" si="8"/>
        <v>4568.718275</v>
      </c>
      <c r="P133" s="87">
        <f t="shared" si="19"/>
        <v>878.0691623</v>
      </c>
      <c r="Q133" s="79">
        <f t="shared" si="13"/>
        <v>16807.95453</v>
      </c>
      <c r="R133" s="80">
        <f t="shared" si="14"/>
        <v>5882.784085</v>
      </c>
      <c r="S133" s="79">
        <f t="shared" si="15"/>
        <v>10925.17044</v>
      </c>
      <c r="T133" s="79">
        <f t="shared" si="11"/>
        <v>11608.34544</v>
      </c>
      <c r="U133" s="7"/>
    </row>
    <row r="134">
      <c r="A134" s="7"/>
      <c r="B134" s="78">
        <v>9.0</v>
      </c>
      <c r="C134" s="79">
        <f>Financiero!$B$7*Financiero!$F$7</f>
        <v>41666.66667</v>
      </c>
      <c r="D134" s="82"/>
      <c r="E134" s="81"/>
      <c r="F134" s="80"/>
      <c r="G134" s="81"/>
      <c r="H134" s="81"/>
      <c r="I134" s="80">
        <f>Financiero!$I$3</f>
        <v>3935.200695</v>
      </c>
      <c r="J134" s="80">
        <f>Financiero!$I$2*Financiero!$F$7</f>
        <v>17820.60061</v>
      </c>
      <c r="K134" s="80">
        <f>(Financiero!$D$13+Financiero!$D$14+Financiero!$D$15)/12</f>
        <v>683.175</v>
      </c>
      <c r="L134" s="79">
        <f t="shared" si="12"/>
        <v>19227.69036</v>
      </c>
      <c r="M134" s="80">
        <f t="shared" si="3"/>
        <v>1541.666667</v>
      </c>
      <c r="N134" s="80">
        <f t="shared" si="4"/>
        <v>8750</v>
      </c>
      <c r="O134" s="79">
        <f t="shared" si="8"/>
        <v>4568.718275</v>
      </c>
      <c r="P134" s="87">
        <f t="shared" si="19"/>
        <v>878.0691623</v>
      </c>
      <c r="Q134" s="79">
        <f t="shared" si="13"/>
        <v>16807.95453</v>
      </c>
      <c r="R134" s="80">
        <f t="shared" si="14"/>
        <v>5882.784085</v>
      </c>
      <c r="S134" s="79">
        <f t="shared" si="15"/>
        <v>10925.17044</v>
      </c>
      <c r="T134" s="79">
        <f t="shared" si="11"/>
        <v>11608.34544</v>
      </c>
      <c r="U134" s="7"/>
    </row>
    <row r="135">
      <c r="A135" s="7"/>
      <c r="B135" s="78">
        <v>10.0</v>
      </c>
      <c r="C135" s="79">
        <f>Financiero!$B$7*Financiero!$F$7</f>
        <v>41666.66667</v>
      </c>
      <c r="D135" s="82"/>
      <c r="E135" s="81"/>
      <c r="F135" s="80"/>
      <c r="G135" s="81"/>
      <c r="H135" s="81"/>
      <c r="I135" s="80">
        <f>Financiero!$I$3</f>
        <v>3935.200695</v>
      </c>
      <c r="J135" s="80">
        <f>Financiero!$I$2*Financiero!$F$7</f>
        <v>17820.60061</v>
      </c>
      <c r="K135" s="80">
        <f>(Financiero!$D$13+Financiero!$D$14+Financiero!$D$15)/12</f>
        <v>683.175</v>
      </c>
      <c r="L135" s="79">
        <f t="shared" si="12"/>
        <v>19227.69036</v>
      </c>
      <c r="M135" s="80">
        <f t="shared" si="3"/>
        <v>1541.666667</v>
      </c>
      <c r="N135" s="80">
        <f t="shared" si="4"/>
        <v>8750</v>
      </c>
      <c r="O135" s="79">
        <f t="shared" si="8"/>
        <v>4568.718275</v>
      </c>
      <c r="P135" s="87">
        <f t="shared" si="19"/>
        <v>878.0691623</v>
      </c>
      <c r="Q135" s="79">
        <f t="shared" si="13"/>
        <v>16807.95453</v>
      </c>
      <c r="R135" s="80">
        <f t="shared" si="14"/>
        <v>5882.784085</v>
      </c>
      <c r="S135" s="79">
        <f t="shared" si="15"/>
        <v>10925.17044</v>
      </c>
      <c r="T135" s="79">
        <f t="shared" si="11"/>
        <v>11608.34544</v>
      </c>
      <c r="U135" s="7"/>
    </row>
    <row r="136">
      <c r="A136" s="7"/>
      <c r="B136" s="78">
        <v>11.0</v>
      </c>
      <c r="C136" s="79">
        <f>Financiero!$B$7*Financiero!$F$7</f>
        <v>41666.66667</v>
      </c>
      <c r="D136" s="82"/>
      <c r="E136" s="81"/>
      <c r="F136" s="80"/>
      <c r="G136" s="81"/>
      <c r="H136" s="81"/>
      <c r="I136" s="80">
        <f>Financiero!$I$3</f>
        <v>3935.200695</v>
      </c>
      <c r="J136" s="80">
        <f>Financiero!$I$2*Financiero!$F$7</f>
        <v>17820.60061</v>
      </c>
      <c r="K136" s="80">
        <f>(Financiero!$D$13+Financiero!$D$14+Financiero!$D$15)/12</f>
        <v>683.175</v>
      </c>
      <c r="L136" s="79">
        <f t="shared" si="12"/>
        <v>19227.69036</v>
      </c>
      <c r="M136" s="80">
        <f t="shared" si="3"/>
        <v>1541.666667</v>
      </c>
      <c r="N136" s="80">
        <f t="shared" si="4"/>
        <v>8750</v>
      </c>
      <c r="O136" s="79">
        <f t="shared" si="8"/>
        <v>4568.718275</v>
      </c>
      <c r="P136" s="87">
        <f t="shared" si="19"/>
        <v>878.0691623</v>
      </c>
      <c r="Q136" s="79">
        <f t="shared" si="13"/>
        <v>16807.95453</v>
      </c>
      <c r="R136" s="80">
        <f t="shared" si="14"/>
        <v>5882.784085</v>
      </c>
      <c r="S136" s="79">
        <f t="shared" si="15"/>
        <v>10925.17044</v>
      </c>
      <c r="T136" s="79">
        <f t="shared" si="11"/>
        <v>11608.34544</v>
      </c>
      <c r="U136" s="7"/>
    </row>
    <row r="137">
      <c r="A137" s="10"/>
      <c r="B137" s="78">
        <v>12.0</v>
      </c>
      <c r="C137" s="79">
        <f>Financiero!$B$7*Financiero!$F$7</f>
        <v>41666.66667</v>
      </c>
      <c r="D137" s="82"/>
      <c r="E137" s="81"/>
      <c r="F137" s="80"/>
      <c r="G137" s="81"/>
      <c r="H137" s="81"/>
      <c r="I137" s="80">
        <f>Financiero!$I$3</f>
        <v>3935.200695</v>
      </c>
      <c r="J137" s="80">
        <f>Financiero!$I$2*Financiero!$F$7</f>
        <v>17820.60061</v>
      </c>
      <c r="K137" s="80">
        <f>(Financiero!$D$13+Financiero!$D$14+Financiero!$D$15)/12</f>
        <v>683.175</v>
      </c>
      <c r="L137" s="79">
        <f t="shared" si="12"/>
        <v>19227.69036</v>
      </c>
      <c r="M137" s="80">
        <f t="shared" si="3"/>
        <v>1541.666667</v>
      </c>
      <c r="N137" s="80">
        <f t="shared" si="4"/>
        <v>8750</v>
      </c>
      <c r="O137" s="79">
        <f t="shared" si="8"/>
        <v>4568.718275</v>
      </c>
      <c r="P137" s="87">
        <f t="shared" si="19"/>
        <v>878.0691623</v>
      </c>
      <c r="Q137" s="79">
        <f t="shared" si="13"/>
        <v>16807.95453</v>
      </c>
      <c r="R137" s="80">
        <f t="shared" si="14"/>
        <v>5882.784085</v>
      </c>
      <c r="S137" s="79">
        <f t="shared" si="15"/>
        <v>10925.17044</v>
      </c>
      <c r="T137" s="79">
        <f t="shared" si="11"/>
        <v>11608.34544</v>
      </c>
      <c r="U137" s="10"/>
    </row>
    <row r="138">
      <c r="F138" s="52"/>
    </row>
    <row r="139">
      <c r="F139" s="52"/>
    </row>
    <row r="140">
      <c r="F140" s="52"/>
    </row>
    <row r="141">
      <c r="F141" s="52"/>
    </row>
    <row r="142">
      <c r="F142" s="52"/>
    </row>
    <row r="143">
      <c r="F143" s="52"/>
    </row>
    <row r="144">
      <c r="F144" s="52"/>
    </row>
    <row r="145">
      <c r="F145" s="52"/>
    </row>
    <row r="146">
      <c r="F146" s="52"/>
    </row>
    <row r="147">
      <c r="F147" s="52"/>
    </row>
    <row r="148">
      <c r="F148" s="52"/>
    </row>
    <row r="149">
      <c r="F149" s="52"/>
    </row>
    <row r="150">
      <c r="F150" s="52"/>
    </row>
    <row r="151">
      <c r="F151" s="52"/>
    </row>
    <row r="152">
      <c r="F152" s="52"/>
    </row>
    <row r="153">
      <c r="F153" s="52"/>
    </row>
    <row r="154">
      <c r="F154" s="52"/>
    </row>
    <row r="155">
      <c r="F155" s="52"/>
    </row>
    <row r="156">
      <c r="F156" s="52"/>
    </row>
    <row r="157">
      <c r="F157" s="52"/>
    </row>
    <row r="158">
      <c r="F158" s="52"/>
    </row>
    <row r="159">
      <c r="F159" s="52"/>
    </row>
    <row r="160">
      <c r="F160" s="52"/>
    </row>
    <row r="161">
      <c r="F161" s="52"/>
    </row>
    <row r="162">
      <c r="F162" s="52"/>
    </row>
    <row r="163">
      <c r="F163" s="52"/>
    </row>
    <row r="164">
      <c r="F164" s="52"/>
    </row>
    <row r="165">
      <c r="F165" s="52"/>
    </row>
    <row r="166">
      <c r="F166" s="52"/>
    </row>
    <row r="167">
      <c r="F167" s="52"/>
    </row>
    <row r="168">
      <c r="F168" s="52"/>
    </row>
    <row r="169">
      <c r="F169" s="52"/>
    </row>
    <row r="170">
      <c r="F170" s="52"/>
    </row>
    <row r="171">
      <c r="F171" s="52"/>
    </row>
    <row r="172">
      <c r="F172" s="52"/>
    </row>
    <row r="173">
      <c r="F173" s="52"/>
    </row>
    <row r="174">
      <c r="F174" s="52"/>
    </row>
    <row r="175">
      <c r="F175" s="52"/>
    </row>
    <row r="176">
      <c r="F176" s="52"/>
    </row>
    <row r="177">
      <c r="F177" s="52"/>
    </row>
    <row r="178">
      <c r="F178" s="52"/>
    </row>
    <row r="179">
      <c r="F179" s="52"/>
    </row>
    <row r="180">
      <c r="F180" s="52"/>
    </row>
    <row r="181">
      <c r="F181" s="52"/>
    </row>
    <row r="182">
      <c r="F182" s="52"/>
    </row>
    <row r="183">
      <c r="F183" s="52"/>
    </row>
    <row r="184">
      <c r="F184" s="52"/>
    </row>
    <row r="185">
      <c r="F185" s="52"/>
    </row>
    <row r="186">
      <c r="F186" s="52"/>
    </row>
    <row r="187">
      <c r="F187" s="52"/>
    </row>
    <row r="188">
      <c r="F188" s="52"/>
    </row>
    <row r="189">
      <c r="F189" s="52"/>
    </row>
    <row r="190">
      <c r="F190" s="52"/>
    </row>
    <row r="191">
      <c r="F191" s="52"/>
    </row>
    <row r="192">
      <c r="F192" s="52"/>
    </row>
    <row r="193">
      <c r="F193" s="52"/>
    </row>
    <row r="194">
      <c r="F194" s="52"/>
    </row>
    <row r="195">
      <c r="F195" s="52"/>
    </row>
    <row r="196">
      <c r="F196" s="52"/>
    </row>
    <row r="197">
      <c r="F197" s="52"/>
    </row>
    <row r="198">
      <c r="F198" s="52"/>
    </row>
    <row r="199">
      <c r="F199" s="52"/>
    </row>
    <row r="200">
      <c r="F200" s="52"/>
    </row>
    <row r="201">
      <c r="F201" s="52"/>
    </row>
    <row r="202">
      <c r="F202" s="52"/>
    </row>
    <row r="203">
      <c r="F203" s="52"/>
    </row>
    <row r="204">
      <c r="F204" s="52"/>
    </row>
    <row r="205">
      <c r="F205" s="52"/>
    </row>
    <row r="206">
      <c r="F206" s="52"/>
    </row>
    <row r="207">
      <c r="F207" s="52"/>
    </row>
    <row r="208">
      <c r="F208" s="52"/>
    </row>
    <row r="209">
      <c r="F209" s="52"/>
    </row>
    <row r="210">
      <c r="F210" s="52"/>
    </row>
    <row r="211">
      <c r="F211" s="52"/>
    </row>
    <row r="212">
      <c r="F212" s="52"/>
    </row>
    <row r="213">
      <c r="F213" s="52"/>
    </row>
    <row r="214">
      <c r="F214" s="52"/>
    </row>
    <row r="215">
      <c r="F215" s="52"/>
    </row>
    <row r="216">
      <c r="F216" s="52"/>
    </row>
    <row r="217">
      <c r="F217" s="52"/>
    </row>
    <row r="218">
      <c r="F218" s="52"/>
    </row>
    <row r="219">
      <c r="F219" s="52"/>
    </row>
    <row r="220">
      <c r="F220" s="52"/>
    </row>
    <row r="221">
      <c r="F221" s="52"/>
    </row>
    <row r="222">
      <c r="F222" s="52"/>
    </row>
    <row r="223">
      <c r="F223" s="52"/>
    </row>
    <row r="224">
      <c r="F224" s="52"/>
    </row>
    <row r="225">
      <c r="F225" s="52"/>
    </row>
    <row r="226">
      <c r="F226" s="52"/>
    </row>
    <row r="227">
      <c r="F227" s="52"/>
    </row>
    <row r="228">
      <c r="F228" s="52"/>
    </row>
    <row r="229">
      <c r="F229" s="52"/>
    </row>
    <row r="230">
      <c r="F230" s="52"/>
    </row>
    <row r="231">
      <c r="F231" s="52"/>
    </row>
    <row r="232">
      <c r="F232" s="52"/>
    </row>
    <row r="233">
      <c r="F233" s="52"/>
    </row>
    <row r="234">
      <c r="F234" s="52"/>
    </row>
    <row r="235">
      <c r="F235" s="52"/>
    </row>
    <row r="236">
      <c r="F236" s="52"/>
    </row>
    <row r="237">
      <c r="F237" s="52"/>
    </row>
    <row r="238">
      <c r="F238" s="52"/>
    </row>
    <row r="239">
      <c r="F239" s="52"/>
    </row>
    <row r="240">
      <c r="F240" s="52"/>
    </row>
    <row r="241">
      <c r="F241" s="52"/>
    </row>
    <row r="242">
      <c r="F242" s="52"/>
    </row>
    <row r="243">
      <c r="F243" s="52"/>
    </row>
    <row r="244">
      <c r="F244" s="52"/>
    </row>
    <row r="245">
      <c r="F245" s="52"/>
    </row>
    <row r="246">
      <c r="F246" s="52"/>
    </row>
    <row r="247">
      <c r="F247" s="52"/>
    </row>
    <row r="248">
      <c r="F248" s="52"/>
    </row>
    <row r="249">
      <c r="F249" s="52"/>
    </row>
    <row r="250">
      <c r="F250" s="52"/>
    </row>
    <row r="251">
      <c r="F251" s="52"/>
    </row>
    <row r="252">
      <c r="F252" s="52"/>
    </row>
    <row r="253">
      <c r="F253" s="52"/>
    </row>
    <row r="254">
      <c r="F254" s="52"/>
    </row>
    <row r="255">
      <c r="F255" s="52"/>
    </row>
    <row r="256">
      <c r="F256" s="52"/>
    </row>
    <row r="257">
      <c r="F257" s="52"/>
    </row>
    <row r="258">
      <c r="F258" s="52"/>
    </row>
    <row r="259">
      <c r="F259" s="52"/>
    </row>
    <row r="260">
      <c r="F260" s="52"/>
    </row>
    <row r="261">
      <c r="F261" s="52"/>
    </row>
    <row r="262">
      <c r="F262" s="52"/>
    </row>
    <row r="263">
      <c r="F263" s="52"/>
    </row>
    <row r="264">
      <c r="F264" s="52"/>
    </row>
    <row r="265">
      <c r="F265" s="52"/>
    </row>
    <row r="266">
      <c r="F266" s="52"/>
    </row>
    <row r="267">
      <c r="F267" s="52"/>
    </row>
    <row r="268">
      <c r="F268" s="52"/>
    </row>
    <row r="269">
      <c r="F269" s="52"/>
    </row>
    <row r="270">
      <c r="F270" s="52"/>
    </row>
    <row r="271">
      <c r="F271" s="52"/>
    </row>
    <row r="272">
      <c r="F272" s="52"/>
    </row>
    <row r="273">
      <c r="F273" s="52"/>
    </row>
    <row r="274">
      <c r="F274" s="52"/>
    </row>
    <row r="275">
      <c r="F275" s="52"/>
    </row>
    <row r="276">
      <c r="F276" s="52"/>
    </row>
    <row r="277">
      <c r="F277" s="52"/>
    </row>
    <row r="278">
      <c r="F278" s="52"/>
    </row>
    <row r="279">
      <c r="F279" s="52"/>
    </row>
    <row r="280">
      <c r="F280" s="52"/>
    </row>
    <row r="281">
      <c r="F281" s="52"/>
    </row>
    <row r="282">
      <c r="F282" s="52"/>
    </row>
    <row r="283">
      <c r="F283" s="52"/>
    </row>
    <row r="284">
      <c r="F284" s="52"/>
    </row>
    <row r="285">
      <c r="F285" s="52"/>
    </row>
    <row r="286">
      <c r="F286" s="52"/>
    </row>
    <row r="287">
      <c r="F287" s="52"/>
    </row>
    <row r="288">
      <c r="F288" s="52"/>
    </row>
    <row r="289">
      <c r="F289" s="52"/>
    </row>
    <row r="290">
      <c r="F290" s="52"/>
    </row>
    <row r="291">
      <c r="F291" s="52"/>
    </row>
    <row r="292">
      <c r="F292" s="52"/>
    </row>
    <row r="293">
      <c r="F293" s="52"/>
    </row>
    <row r="294">
      <c r="F294" s="52"/>
    </row>
    <row r="295">
      <c r="F295" s="52"/>
    </row>
    <row r="296">
      <c r="F296" s="52"/>
    </row>
    <row r="297">
      <c r="F297" s="52"/>
    </row>
    <row r="298">
      <c r="F298" s="52"/>
    </row>
    <row r="299">
      <c r="F299" s="52"/>
    </row>
    <row r="300">
      <c r="F300" s="52"/>
    </row>
    <row r="301">
      <c r="F301" s="52"/>
    </row>
    <row r="302">
      <c r="F302" s="52"/>
    </row>
    <row r="303">
      <c r="F303" s="52"/>
    </row>
    <row r="304">
      <c r="F304" s="52"/>
    </row>
    <row r="305">
      <c r="F305" s="52"/>
    </row>
    <row r="306">
      <c r="F306" s="52"/>
    </row>
    <row r="307">
      <c r="F307" s="52"/>
    </row>
    <row r="308">
      <c r="F308" s="52"/>
    </row>
    <row r="309">
      <c r="F309" s="52"/>
    </row>
    <row r="310">
      <c r="F310" s="52"/>
    </row>
    <row r="311">
      <c r="F311" s="52"/>
    </row>
    <row r="312">
      <c r="F312" s="52"/>
    </row>
    <row r="313">
      <c r="F313" s="52"/>
    </row>
    <row r="314">
      <c r="F314" s="52"/>
    </row>
    <row r="315">
      <c r="F315" s="52"/>
    </row>
    <row r="316">
      <c r="F316" s="52"/>
    </row>
    <row r="317">
      <c r="F317" s="52"/>
    </row>
    <row r="318">
      <c r="F318" s="52"/>
    </row>
    <row r="319">
      <c r="F319" s="52"/>
    </row>
    <row r="320">
      <c r="F320" s="52"/>
    </row>
    <row r="321">
      <c r="F321" s="52"/>
    </row>
    <row r="322">
      <c r="F322" s="52"/>
    </row>
    <row r="323">
      <c r="F323" s="52"/>
    </row>
    <row r="324">
      <c r="F324" s="52"/>
    </row>
    <row r="325">
      <c r="F325" s="52"/>
    </row>
    <row r="326">
      <c r="F326" s="52"/>
    </row>
    <row r="327">
      <c r="F327" s="52"/>
    </row>
    <row r="328">
      <c r="F328" s="52"/>
    </row>
    <row r="329">
      <c r="F329" s="52"/>
    </row>
    <row r="330">
      <c r="F330" s="52"/>
    </row>
    <row r="331">
      <c r="F331" s="52"/>
    </row>
    <row r="332">
      <c r="F332" s="52"/>
    </row>
    <row r="333">
      <c r="F333" s="52"/>
    </row>
    <row r="334">
      <c r="F334" s="52"/>
    </row>
    <row r="335">
      <c r="F335" s="52"/>
    </row>
    <row r="336">
      <c r="F336" s="52"/>
    </row>
    <row r="337">
      <c r="F337" s="52"/>
    </row>
    <row r="338">
      <c r="F338" s="52"/>
    </row>
    <row r="339">
      <c r="F339" s="52"/>
    </row>
    <row r="340">
      <c r="F340" s="52"/>
    </row>
    <row r="341">
      <c r="F341" s="52"/>
    </row>
    <row r="342">
      <c r="F342" s="52"/>
    </row>
    <row r="343">
      <c r="F343" s="52"/>
    </row>
    <row r="344">
      <c r="F344" s="52"/>
    </row>
    <row r="345">
      <c r="F345" s="52"/>
    </row>
    <row r="346">
      <c r="F346" s="52"/>
    </row>
    <row r="347">
      <c r="F347" s="52"/>
    </row>
    <row r="348">
      <c r="F348" s="52"/>
    </row>
    <row r="349">
      <c r="F349" s="52"/>
    </row>
    <row r="350">
      <c r="F350" s="52"/>
    </row>
    <row r="351">
      <c r="F351" s="52"/>
    </row>
    <row r="352">
      <c r="F352" s="52"/>
    </row>
    <row r="353">
      <c r="F353" s="52"/>
    </row>
    <row r="354">
      <c r="F354" s="52"/>
    </row>
    <row r="355">
      <c r="F355" s="52"/>
    </row>
    <row r="356">
      <c r="F356" s="52"/>
    </row>
    <row r="357">
      <c r="F357" s="52"/>
    </row>
    <row r="358">
      <c r="F358" s="52"/>
    </row>
    <row r="359">
      <c r="F359" s="52"/>
    </row>
    <row r="360">
      <c r="F360" s="52"/>
    </row>
    <row r="361">
      <c r="F361" s="52"/>
    </row>
    <row r="362">
      <c r="F362" s="52"/>
    </row>
    <row r="363">
      <c r="F363" s="52"/>
    </row>
    <row r="364">
      <c r="F364" s="52"/>
    </row>
    <row r="365">
      <c r="F365" s="52"/>
    </row>
    <row r="366">
      <c r="F366" s="52"/>
    </row>
    <row r="367">
      <c r="F367" s="52"/>
    </row>
    <row r="368">
      <c r="F368" s="52"/>
    </row>
    <row r="369">
      <c r="F369" s="52"/>
    </row>
    <row r="370">
      <c r="F370" s="52"/>
    </row>
    <row r="371">
      <c r="F371" s="52"/>
    </row>
    <row r="372">
      <c r="F372" s="52"/>
    </row>
    <row r="373">
      <c r="F373" s="52"/>
    </row>
    <row r="374">
      <c r="F374" s="52"/>
    </row>
    <row r="375">
      <c r="F375" s="52"/>
    </row>
    <row r="376">
      <c r="F376" s="52"/>
    </row>
    <row r="377">
      <c r="F377" s="52"/>
    </row>
    <row r="378">
      <c r="F378" s="52"/>
    </row>
    <row r="379">
      <c r="F379" s="52"/>
    </row>
    <row r="380">
      <c r="F380" s="52"/>
    </row>
    <row r="381">
      <c r="F381" s="52"/>
    </row>
    <row r="382">
      <c r="F382" s="52"/>
    </row>
    <row r="383">
      <c r="F383" s="52"/>
    </row>
    <row r="384">
      <c r="F384" s="52"/>
    </row>
    <row r="385">
      <c r="F385" s="52"/>
    </row>
    <row r="386">
      <c r="F386" s="52"/>
    </row>
    <row r="387">
      <c r="F387" s="52"/>
    </row>
    <row r="388">
      <c r="F388" s="52"/>
    </row>
    <row r="389">
      <c r="F389" s="52"/>
    </row>
    <row r="390">
      <c r="F390" s="52"/>
    </row>
    <row r="391">
      <c r="F391" s="52"/>
    </row>
    <row r="392">
      <c r="F392" s="52"/>
    </row>
    <row r="393">
      <c r="F393" s="52"/>
    </row>
    <row r="394">
      <c r="F394" s="52"/>
    </row>
    <row r="395">
      <c r="F395" s="52"/>
    </row>
    <row r="396">
      <c r="F396" s="52"/>
    </row>
    <row r="397">
      <c r="F397" s="52"/>
    </row>
    <row r="398">
      <c r="F398" s="52"/>
    </row>
    <row r="399">
      <c r="F399" s="52"/>
    </row>
    <row r="400">
      <c r="F400" s="52"/>
    </row>
    <row r="401">
      <c r="F401" s="52"/>
    </row>
    <row r="402">
      <c r="F402" s="52"/>
    </row>
    <row r="403">
      <c r="F403" s="52"/>
    </row>
    <row r="404">
      <c r="F404" s="52"/>
    </row>
    <row r="405">
      <c r="F405" s="52"/>
    </row>
    <row r="406">
      <c r="F406" s="52"/>
    </row>
    <row r="407">
      <c r="F407" s="52"/>
    </row>
    <row r="408">
      <c r="F408" s="52"/>
    </row>
    <row r="409">
      <c r="F409" s="52"/>
    </row>
    <row r="410">
      <c r="F410" s="52"/>
    </row>
    <row r="411">
      <c r="F411" s="52"/>
    </row>
    <row r="412">
      <c r="F412" s="52"/>
    </row>
    <row r="413">
      <c r="F413" s="52"/>
    </row>
    <row r="414">
      <c r="F414" s="52"/>
    </row>
    <row r="415">
      <c r="F415" s="52"/>
    </row>
    <row r="416">
      <c r="F416" s="52"/>
    </row>
    <row r="417">
      <c r="F417" s="52"/>
    </row>
    <row r="418">
      <c r="F418" s="52"/>
    </row>
    <row r="419">
      <c r="F419" s="52"/>
    </row>
    <row r="420">
      <c r="F420" s="52"/>
    </row>
    <row r="421">
      <c r="F421" s="52"/>
    </row>
    <row r="422">
      <c r="F422" s="52"/>
    </row>
    <row r="423">
      <c r="F423" s="52"/>
    </row>
    <row r="424">
      <c r="F424" s="52"/>
    </row>
    <row r="425">
      <c r="F425" s="52"/>
    </row>
    <row r="426">
      <c r="F426" s="52"/>
    </row>
    <row r="427">
      <c r="F427" s="52"/>
    </row>
    <row r="428">
      <c r="F428" s="52"/>
    </row>
    <row r="429">
      <c r="F429" s="52"/>
    </row>
    <row r="430">
      <c r="F430" s="52"/>
    </row>
    <row r="431">
      <c r="F431" s="52"/>
    </row>
    <row r="432">
      <c r="F432" s="52"/>
    </row>
    <row r="433">
      <c r="F433" s="52"/>
    </row>
    <row r="434">
      <c r="F434" s="52"/>
    </row>
    <row r="435">
      <c r="F435" s="52"/>
    </row>
    <row r="436">
      <c r="F436" s="52"/>
    </row>
    <row r="437">
      <c r="F437" s="52"/>
    </row>
    <row r="438">
      <c r="F438" s="52"/>
    </row>
    <row r="439">
      <c r="F439" s="52"/>
    </row>
    <row r="440">
      <c r="F440" s="52"/>
    </row>
    <row r="441">
      <c r="F441" s="52"/>
    </row>
    <row r="442">
      <c r="F442" s="52"/>
    </row>
    <row r="443">
      <c r="F443" s="52"/>
    </row>
    <row r="444">
      <c r="F444" s="52"/>
    </row>
    <row r="445">
      <c r="F445" s="52"/>
    </row>
    <row r="446">
      <c r="F446" s="52"/>
    </row>
    <row r="447">
      <c r="F447" s="52"/>
    </row>
    <row r="448">
      <c r="F448" s="52"/>
    </row>
    <row r="449">
      <c r="F449" s="52"/>
    </row>
    <row r="450">
      <c r="F450" s="52"/>
    </row>
    <row r="451">
      <c r="F451" s="52"/>
    </row>
    <row r="452">
      <c r="F452" s="52"/>
    </row>
    <row r="453">
      <c r="F453" s="52"/>
    </row>
    <row r="454">
      <c r="F454" s="52"/>
    </row>
    <row r="455">
      <c r="F455" s="52"/>
    </row>
    <row r="456">
      <c r="F456" s="52"/>
    </row>
    <row r="457">
      <c r="F457" s="52"/>
    </row>
    <row r="458">
      <c r="F458" s="52"/>
    </row>
    <row r="459">
      <c r="F459" s="52"/>
    </row>
    <row r="460">
      <c r="F460" s="52"/>
    </row>
    <row r="461">
      <c r="F461" s="52"/>
    </row>
    <row r="462">
      <c r="F462" s="52"/>
    </row>
    <row r="463">
      <c r="F463" s="52"/>
    </row>
    <row r="464">
      <c r="F464" s="52"/>
    </row>
    <row r="465">
      <c r="F465" s="52"/>
    </row>
    <row r="466">
      <c r="F466" s="52"/>
    </row>
    <row r="467">
      <c r="F467" s="52"/>
    </row>
    <row r="468">
      <c r="F468" s="52"/>
    </row>
    <row r="469">
      <c r="F469" s="52"/>
    </row>
    <row r="470">
      <c r="F470" s="52"/>
    </row>
    <row r="471">
      <c r="F471" s="52"/>
    </row>
    <row r="472">
      <c r="F472" s="52"/>
    </row>
    <row r="473">
      <c r="F473" s="52"/>
    </row>
    <row r="474">
      <c r="F474" s="52"/>
    </row>
    <row r="475">
      <c r="F475" s="52"/>
    </row>
    <row r="476">
      <c r="F476" s="52"/>
    </row>
    <row r="477">
      <c r="F477" s="52"/>
    </row>
    <row r="478">
      <c r="F478" s="52"/>
    </row>
    <row r="479">
      <c r="F479" s="52"/>
    </row>
    <row r="480">
      <c r="F480" s="52"/>
    </row>
    <row r="481">
      <c r="F481" s="52"/>
    </row>
    <row r="482">
      <c r="F482" s="52"/>
    </row>
    <row r="483">
      <c r="F483" s="52"/>
    </row>
    <row r="484">
      <c r="F484" s="52"/>
    </row>
    <row r="485">
      <c r="F485" s="52"/>
    </row>
    <row r="486">
      <c r="F486" s="52"/>
    </row>
    <row r="487">
      <c r="F487" s="52"/>
    </row>
    <row r="488">
      <c r="F488" s="52"/>
    </row>
    <row r="489">
      <c r="F489" s="52"/>
    </row>
    <row r="490">
      <c r="F490" s="52"/>
    </row>
    <row r="491">
      <c r="F491" s="52"/>
    </row>
    <row r="492">
      <c r="F492" s="52"/>
    </row>
    <row r="493">
      <c r="F493" s="52"/>
    </row>
    <row r="494">
      <c r="F494" s="52"/>
    </row>
    <row r="495">
      <c r="F495" s="52"/>
    </row>
    <row r="496">
      <c r="F496" s="52"/>
    </row>
    <row r="497">
      <c r="F497" s="52"/>
    </row>
    <row r="498">
      <c r="F498" s="52"/>
    </row>
    <row r="499">
      <c r="F499" s="52"/>
    </row>
    <row r="500">
      <c r="F500" s="52"/>
    </row>
    <row r="501">
      <c r="F501" s="52"/>
    </row>
    <row r="502">
      <c r="F502" s="52"/>
    </row>
    <row r="503">
      <c r="F503" s="52"/>
    </row>
    <row r="504">
      <c r="F504" s="52"/>
    </row>
    <row r="505">
      <c r="F505" s="52"/>
    </row>
    <row r="506">
      <c r="F506" s="52"/>
    </row>
    <row r="507">
      <c r="F507" s="52"/>
    </row>
    <row r="508">
      <c r="F508" s="52"/>
    </row>
    <row r="509">
      <c r="F509" s="52"/>
    </row>
    <row r="510">
      <c r="F510" s="52"/>
    </row>
    <row r="511">
      <c r="F511" s="52"/>
    </row>
    <row r="512">
      <c r="F512" s="52"/>
    </row>
    <row r="513">
      <c r="F513" s="52"/>
    </row>
    <row r="514">
      <c r="F514" s="52"/>
    </row>
    <row r="515">
      <c r="F515" s="52"/>
    </row>
    <row r="516">
      <c r="F516" s="52"/>
    </row>
    <row r="517">
      <c r="F517" s="52"/>
    </row>
    <row r="518">
      <c r="F518" s="52"/>
    </row>
    <row r="519">
      <c r="F519" s="52"/>
    </row>
    <row r="520">
      <c r="F520" s="52"/>
    </row>
    <row r="521">
      <c r="F521" s="52"/>
    </row>
    <row r="522">
      <c r="F522" s="52"/>
    </row>
    <row r="523">
      <c r="F523" s="52"/>
    </row>
    <row r="524">
      <c r="F524" s="52"/>
    </row>
    <row r="525">
      <c r="F525" s="52"/>
    </row>
    <row r="526">
      <c r="F526" s="52"/>
    </row>
    <row r="527">
      <c r="F527" s="52"/>
    </row>
    <row r="528">
      <c r="F528" s="52"/>
    </row>
    <row r="529">
      <c r="F529" s="52"/>
    </row>
    <row r="530">
      <c r="F530" s="52"/>
    </row>
    <row r="531">
      <c r="F531" s="52"/>
    </row>
    <row r="532">
      <c r="F532" s="52"/>
    </row>
    <row r="533">
      <c r="F533" s="52"/>
    </row>
    <row r="534">
      <c r="F534" s="52"/>
    </row>
    <row r="535">
      <c r="F535" s="52"/>
    </row>
    <row r="536">
      <c r="F536" s="52"/>
    </row>
    <row r="537">
      <c r="F537" s="52"/>
    </row>
    <row r="538">
      <c r="F538" s="52"/>
    </row>
    <row r="539">
      <c r="F539" s="52"/>
    </row>
    <row r="540">
      <c r="F540" s="52"/>
    </row>
    <row r="541">
      <c r="F541" s="52"/>
    </row>
    <row r="542">
      <c r="F542" s="52"/>
    </row>
    <row r="543">
      <c r="F543" s="52"/>
    </row>
    <row r="544">
      <c r="F544" s="52"/>
    </row>
    <row r="545">
      <c r="F545" s="52"/>
    </row>
    <row r="546">
      <c r="F546" s="52"/>
    </row>
    <row r="547">
      <c r="F547" s="52"/>
    </row>
    <row r="548">
      <c r="F548" s="52"/>
    </row>
    <row r="549">
      <c r="F549" s="52"/>
    </row>
    <row r="550">
      <c r="F550" s="52"/>
    </row>
    <row r="551">
      <c r="F551" s="52"/>
    </row>
    <row r="552">
      <c r="F552" s="52"/>
    </row>
    <row r="553">
      <c r="F553" s="52"/>
    </row>
    <row r="554">
      <c r="F554" s="52"/>
    </row>
    <row r="555">
      <c r="F555" s="52"/>
    </row>
    <row r="556">
      <c r="F556" s="52"/>
    </row>
    <row r="557">
      <c r="F557" s="52"/>
    </row>
    <row r="558">
      <c r="F558" s="52"/>
    </row>
    <row r="559">
      <c r="F559" s="52"/>
    </row>
    <row r="560">
      <c r="F560" s="52"/>
    </row>
    <row r="561">
      <c r="F561" s="52"/>
    </row>
    <row r="562">
      <c r="F562" s="52"/>
    </row>
    <row r="563">
      <c r="F563" s="52"/>
    </row>
    <row r="564">
      <c r="F564" s="52"/>
    </row>
    <row r="565">
      <c r="F565" s="52"/>
    </row>
    <row r="566">
      <c r="F566" s="52"/>
    </row>
    <row r="567">
      <c r="F567" s="52"/>
    </row>
    <row r="568">
      <c r="F568" s="52"/>
    </row>
    <row r="569">
      <c r="F569" s="52"/>
    </row>
    <row r="570">
      <c r="F570" s="52"/>
    </row>
    <row r="571">
      <c r="F571" s="52"/>
    </row>
    <row r="572">
      <c r="F572" s="52"/>
    </row>
    <row r="573">
      <c r="F573" s="52"/>
    </row>
    <row r="574">
      <c r="F574" s="52"/>
    </row>
    <row r="575">
      <c r="F575" s="52"/>
    </row>
    <row r="576">
      <c r="F576" s="52"/>
    </row>
    <row r="577">
      <c r="F577" s="52"/>
    </row>
    <row r="578">
      <c r="F578" s="52"/>
    </row>
    <row r="579">
      <c r="F579" s="52"/>
    </row>
    <row r="580">
      <c r="F580" s="52"/>
    </row>
    <row r="581">
      <c r="F581" s="52"/>
    </row>
    <row r="582">
      <c r="F582" s="52"/>
    </row>
    <row r="583">
      <c r="F583" s="52"/>
    </row>
    <row r="584">
      <c r="F584" s="52"/>
    </row>
    <row r="585">
      <c r="F585" s="52"/>
    </row>
    <row r="586">
      <c r="F586" s="52"/>
    </row>
    <row r="587">
      <c r="F587" s="52"/>
    </row>
    <row r="588">
      <c r="F588" s="52"/>
    </row>
    <row r="589">
      <c r="F589" s="52"/>
    </row>
    <row r="590">
      <c r="F590" s="52"/>
    </row>
    <row r="591">
      <c r="F591" s="52"/>
    </row>
    <row r="592">
      <c r="F592" s="52"/>
    </row>
    <row r="593">
      <c r="F593" s="52"/>
    </row>
    <row r="594">
      <c r="F594" s="52"/>
    </row>
    <row r="595">
      <c r="F595" s="52"/>
    </row>
    <row r="596">
      <c r="F596" s="52"/>
    </row>
    <row r="597">
      <c r="F597" s="52"/>
    </row>
    <row r="598">
      <c r="F598" s="52"/>
    </row>
    <row r="599">
      <c r="F599" s="52"/>
    </row>
    <row r="600">
      <c r="F600" s="52"/>
    </row>
    <row r="601">
      <c r="F601" s="52"/>
    </row>
    <row r="602">
      <c r="F602" s="52"/>
    </row>
    <row r="603">
      <c r="F603" s="52"/>
    </row>
    <row r="604">
      <c r="F604" s="52"/>
    </row>
    <row r="605">
      <c r="F605" s="52"/>
    </row>
    <row r="606">
      <c r="F606" s="52"/>
    </row>
    <row r="607">
      <c r="F607" s="52"/>
    </row>
    <row r="608">
      <c r="F608" s="52"/>
    </row>
    <row r="609">
      <c r="F609" s="52"/>
    </row>
    <row r="610">
      <c r="F610" s="52"/>
    </row>
    <row r="611">
      <c r="F611" s="52"/>
    </row>
    <row r="612">
      <c r="F612" s="52"/>
    </row>
    <row r="613">
      <c r="F613" s="52"/>
    </row>
    <row r="614">
      <c r="F614" s="52"/>
    </row>
    <row r="615">
      <c r="F615" s="52"/>
    </row>
    <row r="616">
      <c r="F616" s="52"/>
    </row>
    <row r="617">
      <c r="F617" s="52"/>
    </row>
    <row r="618">
      <c r="F618" s="52"/>
    </row>
    <row r="619">
      <c r="F619" s="52"/>
    </row>
    <row r="620">
      <c r="F620" s="52"/>
    </row>
    <row r="621">
      <c r="F621" s="52"/>
    </row>
    <row r="622">
      <c r="F622" s="52"/>
    </row>
    <row r="623">
      <c r="F623" s="52"/>
    </row>
    <row r="624">
      <c r="F624" s="52"/>
    </row>
    <row r="625">
      <c r="F625" s="52"/>
    </row>
    <row r="626">
      <c r="F626" s="52"/>
    </row>
    <row r="627">
      <c r="F627" s="52"/>
    </row>
    <row r="628">
      <c r="F628" s="52"/>
    </row>
    <row r="629">
      <c r="F629" s="52"/>
    </row>
    <row r="630">
      <c r="F630" s="52"/>
    </row>
    <row r="631">
      <c r="F631" s="52"/>
    </row>
    <row r="632">
      <c r="F632" s="52"/>
    </row>
    <row r="633">
      <c r="F633" s="52"/>
    </row>
    <row r="634">
      <c r="F634" s="52"/>
    </row>
    <row r="635">
      <c r="F635" s="52"/>
    </row>
    <row r="636">
      <c r="F636" s="52"/>
    </row>
    <row r="637">
      <c r="F637" s="52"/>
    </row>
    <row r="638">
      <c r="F638" s="52"/>
    </row>
    <row r="639">
      <c r="F639" s="52"/>
    </row>
    <row r="640">
      <c r="F640" s="52"/>
    </row>
    <row r="641">
      <c r="F641" s="52"/>
    </row>
    <row r="642">
      <c r="F642" s="52"/>
    </row>
    <row r="643">
      <c r="F643" s="52"/>
    </row>
    <row r="644">
      <c r="F644" s="52"/>
    </row>
    <row r="645">
      <c r="F645" s="52"/>
    </row>
    <row r="646">
      <c r="F646" s="52"/>
    </row>
    <row r="647">
      <c r="F647" s="52"/>
    </row>
    <row r="648">
      <c r="F648" s="52"/>
    </row>
    <row r="649">
      <c r="F649" s="52"/>
    </row>
    <row r="650">
      <c r="F650" s="52"/>
    </row>
    <row r="651">
      <c r="F651" s="52"/>
    </row>
    <row r="652">
      <c r="F652" s="52"/>
    </row>
    <row r="653">
      <c r="F653" s="52"/>
    </row>
    <row r="654">
      <c r="F654" s="52"/>
    </row>
    <row r="655">
      <c r="F655" s="52"/>
    </row>
    <row r="656">
      <c r="F656" s="52"/>
    </row>
    <row r="657">
      <c r="F657" s="52"/>
    </row>
    <row r="658">
      <c r="F658" s="52"/>
    </row>
    <row r="659">
      <c r="F659" s="52"/>
    </row>
    <row r="660">
      <c r="F660" s="52"/>
    </row>
    <row r="661">
      <c r="F661" s="52"/>
    </row>
    <row r="662">
      <c r="F662" s="52"/>
    </row>
    <row r="663">
      <c r="F663" s="52"/>
    </row>
    <row r="664">
      <c r="F664" s="52"/>
    </row>
    <row r="665">
      <c r="F665" s="52"/>
    </row>
    <row r="666">
      <c r="F666" s="52"/>
    </row>
    <row r="667">
      <c r="F667" s="52"/>
    </row>
    <row r="668">
      <c r="F668" s="52"/>
    </row>
    <row r="669">
      <c r="F669" s="52"/>
    </row>
    <row r="670">
      <c r="F670" s="52"/>
    </row>
    <row r="671">
      <c r="F671" s="52"/>
    </row>
    <row r="672">
      <c r="F672" s="52"/>
    </row>
    <row r="673">
      <c r="F673" s="52"/>
    </row>
    <row r="674">
      <c r="F674" s="52"/>
    </row>
    <row r="675">
      <c r="F675" s="52"/>
    </row>
    <row r="676">
      <c r="F676" s="52"/>
    </row>
    <row r="677">
      <c r="F677" s="52"/>
    </row>
    <row r="678">
      <c r="F678" s="52"/>
    </row>
    <row r="679">
      <c r="F679" s="52"/>
    </row>
    <row r="680">
      <c r="F680" s="52"/>
    </row>
    <row r="681">
      <c r="F681" s="52"/>
    </row>
    <row r="682">
      <c r="F682" s="52"/>
    </row>
    <row r="683">
      <c r="F683" s="52"/>
    </row>
    <row r="684">
      <c r="F684" s="52"/>
    </row>
    <row r="685">
      <c r="F685" s="52"/>
    </row>
    <row r="686">
      <c r="F686" s="52"/>
    </row>
    <row r="687">
      <c r="F687" s="52"/>
    </row>
    <row r="688">
      <c r="F688" s="52"/>
    </row>
    <row r="689">
      <c r="F689" s="52"/>
    </row>
    <row r="690">
      <c r="F690" s="52"/>
    </row>
    <row r="691">
      <c r="F691" s="52"/>
    </row>
    <row r="692">
      <c r="F692" s="52"/>
    </row>
    <row r="693">
      <c r="F693" s="52"/>
    </row>
    <row r="694">
      <c r="F694" s="52"/>
    </row>
    <row r="695">
      <c r="F695" s="52"/>
    </row>
    <row r="696">
      <c r="F696" s="52"/>
    </row>
    <row r="697">
      <c r="F697" s="52"/>
    </row>
    <row r="698">
      <c r="F698" s="52"/>
    </row>
    <row r="699">
      <c r="F699" s="52"/>
    </row>
    <row r="700">
      <c r="F700" s="52"/>
    </row>
    <row r="701">
      <c r="F701" s="52"/>
    </row>
    <row r="702">
      <c r="F702" s="52"/>
    </row>
    <row r="703">
      <c r="F703" s="52"/>
    </row>
    <row r="704">
      <c r="F704" s="52"/>
    </row>
    <row r="705">
      <c r="F705" s="52"/>
    </row>
    <row r="706">
      <c r="F706" s="52"/>
    </row>
    <row r="707">
      <c r="F707" s="52"/>
    </row>
    <row r="708">
      <c r="F708" s="52"/>
    </row>
    <row r="709">
      <c r="F709" s="52"/>
    </row>
    <row r="710">
      <c r="F710" s="52"/>
    </row>
    <row r="711">
      <c r="F711" s="52"/>
    </row>
    <row r="712">
      <c r="F712" s="52"/>
    </row>
    <row r="713">
      <c r="F713" s="52"/>
    </row>
    <row r="714">
      <c r="F714" s="52"/>
    </row>
    <row r="715">
      <c r="F715" s="52"/>
    </row>
    <row r="716">
      <c r="F716" s="52"/>
    </row>
    <row r="717">
      <c r="F717" s="52"/>
    </row>
    <row r="718">
      <c r="F718" s="52"/>
    </row>
    <row r="719">
      <c r="F719" s="52"/>
    </row>
    <row r="720">
      <c r="F720" s="52"/>
    </row>
    <row r="721">
      <c r="F721" s="52"/>
    </row>
    <row r="722">
      <c r="F722" s="52"/>
    </row>
    <row r="723">
      <c r="F723" s="52"/>
    </row>
    <row r="724">
      <c r="F724" s="52"/>
    </row>
    <row r="725">
      <c r="F725" s="52"/>
    </row>
    <row r="726">
      <c r="F726" s="52"/>
    </row>
    <row r="727">
      <c r="F727" s="52"/>
    </row>
    <row r="728">
      <c r="F728" s="52"/>
    </row>
    <row r="729">
      <c r="F729" s="52"/>
    </row>
    <row r="730">
      <c r="F730" s="52"/>
    </row>
    <row r="731">
      <c r="F731" s="52"/>
    </row>
    <row r="732">
      <c r="F732" s="52"/>
    </row>
    <row r="733">
      <c r="F733" s="52"/>
    </row>
    <row r="734">
      <c r="F734" s="52"/>
    </row>
    <row r="735">
      <c r="F735" s="52"/>
    </row>
    <row r="736">
      <c r="F736" s="52"/>
    </row>
    <row r="737">
      <c r="F737" s="52"/>
    </row>
    <row r="738">
      <c r="F738" s="52"/>
    </row>
    <row r="739">
      <c r="F739" s="52"/>
    </row>
    <row r="740">
      <c r="F740" s="52"/>
    </row>
    <row r="741">
      <c r="F741" s="52"/>
    </row>
    <row r="742">
      <c r="F742" s="52"/>
    </row>
    <row r="743">
      <c r="F743" s="52"/>
    </row>
    <row r="744">
      <c r="F744" s="52"/>
    </row>
    <row r="745">
      <c r="F745" s="52"/>
    </row>
    <row r="746">
      <c r="F746" s="52"/>
    </row>
    <row r="747">
      <c r="F747" s="52"/>
    </row>
    <row r="748">
      <c r="F748" s="52"/>
    </row>
    <row r="749">
      <c r="F749" s="52"/>
    </row>
    <row r="750">
      <c r="F750" s="52"/>
    </row>
    <row r="751">
      <c r="F751" s="52"/>
    </row>
    <row r="752">
      <c r="F752" s="52"/>
    </row>
    <row r="753">
      <c r="F753" s="52"/>
    </row>
    <row r="754">
      <c r="F754" s="52"/>
    </row>
    <row r="755">
      <c r="F755" s="52"/>
    </row>
    <row r="756">
      <c r="F756" s="52"/>
    </row>
    <row r="757">
      <c r="F757" s="52"/>
    </row>
    <row r="758">
      <c r="F758" s="52"/>
    </row>
    <row r="759">
      <c r="F759" s="52"/>
    </row>
    <row r="760">
      <c r="F760" s="52"/>
    </row>
    <row r="761">
      <c r="F761" s="52"/>
    </row>
    <row r="762">
      <c r="F762" s="52"/>
    </row>
    <row r="763">
      <c r="F763" s="52"/>
    </row>
    <row r="764">
      <c r="F764" s="52"/>
    </row>
    <row r="765">
      <c r="F765" s="52"/>
    </row>
    <row r="766">
      <c r="F766" s="52"/>
    </row>
    <row r="767">
      <c r="F767" s="52"/>
    </row>
    <row r="768">
      <c r="F768" s="52"/>
    </row>
    <row r="769">
      <c r="F769" s="52"/>
    </row>
    <row r="770">
      <c r="F770" s="52"/>
    </row>
    <row r="771">
      <c r="F771" s="52"/>
    </row>
    <row r="772">
      <c r="F772" s="52"/>
    </row>
    <row r="773">
      <c r="F773" s="52"/>
    </row>
    <row r="774">
      <c r="F774" s="52"/>
    </row>
    <row r="775">
      <c r="F775" s="52"/>
    </row>
    <row r="776">
      <c r="F776" s="52"/>
    </row>
    <row r="777">
      <c r="F777" s="52"/>
    </row>
    <row r="778">
      <c r="F778" s="52"/>
    </row>
    <row r="779">
      <c r="F779" s="52"/>
    </row>
    <row r="780">
      <c r="F780" s="52"/>
    </row>
    <row r="781">
      <c r="F781" s="52"/>
    </row>
    <row r="782">
      <c r="F782" s="52"/>
    </row>
    <row r="783">
      <c r="F783" s="52"/>
    </row>
    <row r="784">
      <c r="F784" s="52"/>
    </row>
    <row r="785">
      <c r="F785" s="52"/>
    </row>
    <row r="786">
      <c r="F786" s="52"/>
    </row>
    <row r="787">
      <c r="F787" s="52"/>
    </row>
    <row r="788">
      <c r="F788" s="52"/>
    </row>
    <row r="789">
      <c r="F789" s="52"/>
    </row>
    <row r="790">
      <c r="F790" s="52"/>
    </row>
    <row r="791">
      <c r="F791" s="52"/>
    </row>
    <row r="792">
      <c r="F792" s="52"/>
    </row>
    <row r="793">
      <c r="F793" s="52"/>
    </row>
    <row r="794">
      <c r="F794" s="52"/>
    </row>
    <row r="795">
      <c r="F795" s="52"/>
    </row>
    <row r="796">
      <c r="F796" s="52"/>
    </row>
    <row r="797">
      <c r="F797" s="52"/>
    </row>
    <row r="798">
      <c r="F798" s="52"/>
    </row>
    <row r="799">
      <c r="F799" s="52"/>
    </row>
    <row r="800">
      <c r="F800" s="52"/>
    </row>
    <row r="801">
      <c r="F801" s="52"/>
    </row>
    <row r="802">
      <c r="F802" s="52"/>
    </row>
    <row r="803">
      <c r="F803" s="52"/>
    </row>
    <row r="804">
      <c r="F804" s="52"/>
    </row>
    <row r="805">
      <c r="F805" s="52"/>
    </row>
    <row r="806">
      <c r="F806" s="52"/>
    </row>
    <row r="807">
      <c r="F807" s="52"/>
    </row>
    <row r="808">
      <c r="F808" s="52"/>
    </row>
    <row r="809">
      <c r="F809" s="52"/>
    </row>
    <row r="810">
      <c r="F810" s="52"/>
    </row>
    <row r="811">
      <c r="F811" s="52"/>
    </row>
    <row r="812">
      <c r="F812" s="52"/>
    </row>
    <row r="813">
      <c r="F813" s="52"/>
    </row>
    <row r="814">
      <c r="F814" s="52"/>
    </row>
    <row r="815">
      <c r="F815" s="52"/>
    </row>
    <row r="816">
      <c r="F816" s="52"/>
    </row>
    <row r="817">
      <c r="F817" s="52"/>
    </row>
    <row r="818">
      <c r="F818" s="52"/>
    </row>
    <row r="819">
      <c r="F819" s="52"/>
    </row>
    <row r="820">
      <c r="F820" s="52"/>
    </row>
    <row r="821">
      <c r="F821" s="52"/>
    </row>
    <row r="822">
      <c r="F822" s="52"/>
    </row>
    <row r="823">
      <c r="F823" s="52"/>
    </row>
    <row r="824">
      <c r="F824" s="52"/>
    </row>
    <row r="825">
      <c r="F825" s="52"/>
    </row>
    <row r="826">
      <c r="F826" s="52"/>
    </row>
    <row r="827">
      <c r="F827" s="52"/>
    </row>
    <row r="828">
      <c r="F828" s="52"/>
    </row>
    <row r="829">
      <c r="F829" s="52"/>
    </row>
    <row r="830">
      <c r="F830" s="52"/>
    </row>
    <row r="831">
      <c r="F831" s="52"/>
    </row>
    <row r="832">
      <c r="F832" s="52"/>
    </row>
    <row r="833">
      <c r="F833" s="52"/>
    </row>
    <row r="834">
      <c r="F834" s="52"/>
    </row>
    <row r="835">
      <c r="F835" s="52"/>
    </row>
    <row r="836">
      <c r="F836" s="52"/>
    </row>
    <row r="837">
      <c r="F837" s="52"/>
    </row>
    <row r="838">
      <c r="F838" s="52"/>
    </row>
    <row r="839">
      <c r="F839" s="52"/>
    </row>
    <row r="840">
      <c r="F840" s="52"/>
    </row>
    <row r="841">
      <c r="F841" s="52"/>
    </row>
    <row r="842">
      <c r="F842" s="52"/>
    </row>
    <row r="843">
      <c r="F843" s="52"/>
    </row>
    <row r="844">
      <c r="F844" s="52"/>
    </row>
    <row r="845">
      <c r="F845" s="52"/>
    </row>
    <row r="846">
      <c r="F846" s="52"/>
    </row>
    <row r="847">
      <c r="F847" s="52"/>
    </row>
    <row r="848">
      <c r="F848" s="52"/>
    </row>
    <row r="849">
      <c r="F849" s="52"/>
    </row>
    <row r="850">
      <c r="F850" s="52"/>
    </row>
    <row r="851">
      <c r="F851" s="52"/>
    </row>
    <row r="852">
      <c r="F852" s="52"/>
    </row>
    <row r="853">
      <c r="F853" s="52"/>
    </row>
    <row r="854">
      <c r="F854" s="52"/>
    </row>
    <row r="855">
      <c r="F855" s="52"/>
    </row>
    <row r="856">
      <c r="F856" s="52"/>
    </row>
    <row r="857">
      <c r="F857" s="52"/>
    </row>
    <row r="858">
      <c r="F858" s="52"/>
    </row>
    <row r="859">
      <c r="F859" s="52"/>
    </row>
    <row r="860">
      <c r="F860" s="52"/>
    </row>
    <row r="861">
      <c r="F861" s="52"/>
    </row>
    <row r="862">
      <c r="F862" s="52"/>
    </row>
    <row r="863">
      <c r="F863" s="52"/>
    </row>
    <row r="864">
      <c r="F864" s="52"/>
    </row>
    <row r="865">
      <c r="F865" s="52"/>
    </row>
    <row r="866">
      <c r="F866" s="52"/>
    </row>
    <row r="867">
      <c r="F867" s="52"/>
    </row>
    <row r="868">
      <c r="F868" s="52"/>
    </row>
    <row r="869">
      <c r="F869" s="52"/>
    </row>
    <row r="870">
      <c r="F870" s="52"/>
    </row>
    <row r="871">
      <c r="F871" s="52"/>
    </row>
    <row r="872">
      <c r="F872" s="52"/>
    </row>
    <row r="873">
      <c r="F873" s="52"/>
    </row>
    <row r="874">
      <c r="F874" s="52"/>
    </row>
    <row r="875">
      <c r="F875" s="52"/>
    </row>
    <row r="876">
      <c r="F876" s="52"/>
    </row>
    <row r="877">
      <c r="F877" s="52"/>
    </row>
    <row r="878">
      <c r="F878" s="52"/>
    </row>
    <row r="879">
      <c r="F879" s="52"/>
    </row>
    <row r="880">
      <c r="F880" s="52"/>
    </row>
    <row r="881">
      <c r="F881" s="52"/>
    </row>
    <row r="882">
      <c r="F882" s="52"/>
    </row>
    <row r="883">
      <c r="F883" s="52"/>
    </row>
    <row r="884">
      <c r="F884" s="52"/>
    </row>
    <row r="885">
      <c r="F885" s="52"/>
    </row>
    <row r="886">
      <c r="F886" s="52"/>
    </row>
    <row r="887">
      <c r="F887" s="52"/>
    </row>
    <row r="888">
      <c r="F888" s="52"/>
    </row>
    <row r="889">
      <c r="F889" s="52"/>
    </row>
    <row r="890">
      <c r="F890" s="52"/>
    </row>
    <row r="891">
      <c r="F891" s="52"/>
    </row>
    <row r="892">
      <c r="F892" s="52"/>
    </row>
    <row r="893">
      <c r="F893" s="52"/>
    </row>
    <row r="894">
      <c r="F894" s="52"/>
    </row>
    <row r="895">
      <c r="F895" s="52"/>
    </row>
    <row r="896">
      <c r="F896" s="52"/>
    </row>
    <row r="897">
      <c r="F897" s="52"/>
    </row>
    <row r="898">
      <c r="F898" s="52"/>
    </row>
    <row r="899">
      <c r="F899" s="52"/>
    </row>
    <row r="900">
      <c r="F900" s="52"/>
    </row>
    <row r="901">
      <c r="F901" s="52"/>
    </row>
    <row r="902">
      <c r="F902" s="52"/>
    </row>
    <row r="903">
      <c r="F903" s="52"/>
    </row>
    <row r="904">
      <c r="F904" s="52"/>
    </row>
    <row r="905">
      <c r="F905" s="52"/>
    </row>
    <row r="906">
      <c r="F906" s="52"/>
    </row>
    <row r="907">
      <c r="F907" s="52"/>
    </row>
    <row r="908">
      <c r="F908" s="52"/>
    </row>
    <row r="909">
      <c r="F909" s="52"/>
    </row>
    <row r="910">
      <c r="F910" s="52"/>
    </row>
    <row r="911">
      <c r="F911" s="52"/>
    </row>
    <row r="912">
      <c r="F912" s="52"/>
    </row>
    <row r="913">
      <c r="F913" s="52"/>
    </row>
    <row r="914">
      <c r="F914" s="52"/>
    </row>
    <row r="915">
      <c r="F915" s="52"/>
    </row>
    <row r="916">
      <c r="F916" s="52"/>
    </row>
    <row r="917">
      <c r="F917" s="52"/>
    </row>
    <row r="918">
      <c r="F918" s="52"/>
    </row>
    <row r="919">
      <c r="F919" s="52"/>
    </row>
    <row r="920">
      <c r="F920" s="52"/>
    </row>
    <row r="921">
      <c r="F921" s="52"/>
    </row>
    <row r="922">
      <c r="F922" s="52"/>
    </row>
    <row r="923">
      <c r="F923" s="52"/>
    </row>
    <row r="924">
      <c r="F924" s="52"/>
    </row>
    <row r="925">
      <c r="F925" s="52"/>
    </row>
    <row r="926">
      <c r="F926" s="52"/>
    </row>
    <row r="927">
      <c r="F927" s="52"/>
    </row>
    <row r="928">
      <c r="F928" s="52"/>
    </row>
    <row r="929">
      <c r="F929" s="52"/>
    </row>
    <row r="930">
      <c r="F930" s="52"/>
    </row>
    <row r="931">
      <c r="F931" s="52"/>
    </row>
    <row r="932">
      <c r="F932" s="52"/>
    </row>
    <row r="933">
      <c r="F933" s="52"/>
    </row>
    <row r="934">
      <c r="F934" s="52"/>
    </row>
    <row r="935">
      <c r="F935" s="52"/>
    </row>
    <row r="936">
      <c r="F936" s="52"/>
    </row>
    <row r="937">
      <c r="F937" s="52"/>
    </row>
    <row r="938">
      <c r="F938" s="52"/>
    </row>
    <row r="939">
      <c r="F939" s="52"/>
    </row>
    <row r="940">
      <c r="F940" s="52"/>
    </row>
    <row r="941">
      <c r="F941" s="52"/>
    </row>
    <row r="942">
      <c r="F942" s="52"/>
    </row>
    <row r="943">
      <c r="F943" s="52"/>
    </row>
    <row r="944">
      <c r="F944" s="52"/>
    </row>
    <row r="945">
      <c r="F945" s="52"/>
    </row>
    <row r="946">
      <c r="F946" s="52"/>
    </row>
    <row r="947">
      <c r="F947" s="52"/>
    </row>
    <row r="948">
      <c r="F948" s="52"/>
    </row>
    <row r="949">
      <c r="F949" s="52"/>
    </row>
    <row r="950">
      <c r="F950" s="52"/>
    </row>
    <row r="951">
      <c r="F951" s="52"/>
    </row>
    <row r="952">
      <c r="F952" s="52"/>
    </row>
    <row r="953">
      <c r="F953" s="52"/>
    </row>
    <row r="954">
      <c r="F954" s="52"/>
    </row>
    <row r="955">
      <c r="F955" s="52"/>
    </row>
    <row r="956">
      <c r="F956" s="52"/>
    </row>
    <row r="957">
      <c r="F957" s="52"/>
    </row>
    <row r="958">
      <c r="F958" s="52"/>
    </row>
    <row r="959">
      <c r="F959" s="52"/>
    </row>
    <row r="960">
      <c r="F960" s="52"/>
    </row>
    <row r="961">
      <c r="F961" s="52"/>
    </row>
    <row r="962">
      <c r="F962" s="52"/>
    </row>
    <row r="963">
      <c r="F963" s="52"/>
    </row>
    <row r="964">
      <c r="F964" s="52"/>
    </row>
    <row r="965">
      <c r="F965" s="52"/>
    </row>
    <row r="966">
      <c r="F966" s="52"/>
    </row>
    <row r="967">
      <c r="F967" s="52"/>
    </row>
    <row r="968">
      <c r="F968" s="52"/>
    </row>
    <row r="969">
      <c r="F969" s="52"/>
    </row>
    <row r="970">
      <c r="F970" s="52"/>
    </row>
    <row r="971">
      <c r="F971" s="52"/>
    </row>
    <row r="972">
      <c r="F972" s="52"/>
    </row>
    <row r="973">
      <c r="F973" s="52"/>
    </row>
    <row r="974">
      <c r="F974" s="52"/>
    </row>
    <row r="975">
      <c r="F975" s="52"/>
    </row>
    <row r="976">
      <c r="F976" s="52"/>
    </row>
    <row r="977">
      <c r="F977" s="52"/>
    </row>
    <row r="978">
      <c r="F978" s="52"/>
    </row>
    <row r="979">
      <c r="F979" s="52"/>
    </row>
    <row r="980">
      <c r="F980" s="52"/>
    </row>
    <row r="981">
      <c r="F981" s="52"/>
    </row>
    <row r="982">
      <c r="F982" s="52"/>
    </row>
    <row r="983">
      <c r="F983" s="52"/>
    </row>
    <row r="984">
      <c r="F984" s="52"/>
    </row>
    <row r="985">
      <c r="F985" s="52"/>
    </row>
    <row r="986">
      <c r="F986" s="52"/>
    </row>
    <row r="987">
      <c r="F987" s="52"/>
    </row>
    <row r="988">
      <c r="F988" s="52"/>
    </row>
    <row r="989">
      <c r="F989" s="52"/>
    </row>
    <row r="990">
      <c r="F990" s="52"/>
    </row>
    <row r="991">
      <c r="F991" s="52"/>
    </row>
    <row r="992">
      <c r="F992" s="52"/>
    </row>
    <row r="993">
      <c r="F993" s="52"/>
    </row>
    <row r="994">
      <c r="F994" s="52"/>
    </row>
    <row r="995">
      <c r="F995" s="52"/>
    </row>
    <row r="996">
      <c r="F996" s="52"/>
    </row>
    <row r="997">
      <c r="F997" s="52"/>
    </row>
    <row r="998">
      <c r="F998" s="52"/>
    </row>
    <row r="999">
      <c r="F999" s="52"/>
    </row>
    <row r="1000">
      <c r="F1000" s="52"/>
    </row>
    <row r="1001">
      <c r="F1001" s="52"/>
    </row>
    <row r="1002">
      <c r="F1002" s="52"/>
    </row>
    <row r="1003">
      <c r="F1003" s="52"/>
    </row>
    <row r="1004">
      <c r="F1004" s="52"/>
    </row>
    <row r="1005">
      <c r="F1005" s="52"/>
    </row>
    <row r="1006">
      <c r="F1006" s="52"/>
    </row>
    <row r="1007">
      <c r="F1007" s="52"/>
    </row>
    <row r="1008">
      <c r="F1008" s="52"/>
    </row>
  </sheetData>
  <mergeCells count="33">
    <mergeCell ref="A1:B1"/>
    <mergeCell ref="A9:B9"/>
    <mergeCell ref="A15:B15"/>
    <mergeCell ref="C15:C16"/>
    <mergeCell ref="E15:F15"/>
    <mergeCell ref="I15:J15"/>
    <mergeCell ref="K15:K16"/>
    <mergeCell ref="M15:P15"/>
    <mergeCell ref="Q15:Q16"/>
    <mergeCell ref="R15:R16"/>
    <mergeCell ref="S15:S16"/>
    <mergeCell ref="T15:T16"/>
    <mergeCell ref="U15:U16"/>
    <mergeCell ref="U18:U29"/>
    <mergeCell ref="A102:A113"/>
    <mergeCell ref="A114:A125"/>
    <mergeCell ref="A126:A137"/>
    <mergeCell ref="A18:A29"/>
    <mergeCell ref="A30:A41"/>
    <mergeCell ref="A42:A53"/>
    <mergeCell ref="A54:A65"/>
    <mergeCell ref="A66:A77"/>
    <mergeCell ref="A78:A89"/>
    <mergeCell ref="A90:A101"/>
    <mergeCell ref="U114:U125"/>
    <mergeCell ref="U126:U137"/>
    <mergeCell ref="U30:U41"/>
    <mergeCell ref="U42:U53"/>
    <mergeCell ref="U54:U65"/>
    <mergeCell ref="U66:U77"/>
    <mergeCell ref="U78:U89"/>
    <mergeCell ref="U90:U101"/>
    <mergeCell ref="U102:U113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2" max="2" width="4.13"/>
    <col customWidth="1" min="3" max="3" width="5.63"/>
    <col customWidth="1" min="4" max="4" width="7.13"/>
    <col hidden="1" min="5" max="5" width="12.63"/>
    <col customWidth="1" min="6" max="6" width="7.25"/>
    <col customWidth="1" min="7" max="7" width="7.0"/>
    <col hidden="1" min="8" max="9" width="12.63"/>
    <col customWidth="1" min="10" max="10" width="8.88"/>
    <col customWidth="1" min="11" max="11" width="7.38"/>
    <col customWidth="1" min="12" max="12" width="7.75"/>
    <col customWidth="1" hidden="1" min="13" max="13" width="7.63"/>
    <col customWidth="1" min="14" max="14" width="6.88"/>
    <col hidden="1" min="15" max="15" width="12.63"/>
    <col customWidth="1" hidden="1" min="16" max="16" width="11.13"/>
    <col customWidth="1" min="17" max="17" width="6.13"/>
    <col customWidth="1" min="18" max="18" width="7.5"/>
    <col customWidth="1" min="19" max="19" width="9.75"/>
    <col customWidth="1" min="20" max="20" width="9.63"/>
    <col customWidth="1" min="21" max="21" width="8.13"/>
    <col customWidth="1" min="22" max="22" width="8.75"/>
  </cols>
  <sheetData>
    <row r="2">
      <c r="B2" s="57" t="s">
        <v>160</v>
      </c>
      <c r="C2" s="58"/>
      <c r="D2" s="59" t="s">
        <v>161</v>
      </c>
      <c r="E2" s="60"/>
      <c r="F2" s="61" t="s">
        <v>162</v>
      </c>
      <c r="G2" s="58"/>
      <c r="H2" s="60"/>
      <c r="I2" s="60"/>
      <c r="J2" s="62" t="s">
        <v>163</v>
      </c>
      <c r="K2" s="58"/>
      <c r="L2" s="63" t="s">
        <v>185</v>
      </c>
      <c r="M2" s="60"/>
      <c r="N2" s="61" t="s">
        <v>165</v>
      </c>
      <c r="O2" s="64"/>
      <c r="P2" s="64"/>
      <c r="Q2" s="58"/>
      <c r="R2" s="65" t="s">
        <v>166</v>
      </c>
      <c r="S2" s="66" t="s">
        <v>186</v>
      </c>
      <c r="T2" s="67" t="s">
        <v>187</v>
      </c>
      <c r="U2" s="67" t="s">
        <v>169</v>
      </c>
      <c r="V2" s="67" t="s">
        <v>170</v>
      </c>
    </row>
    <row r="3">
      <c r="B3" s="70" t="s">
        <v>128</v>
      </c>
      <c r="C3" s="70" t="s">
        <v>171</v>
      </c>
      <c r="D3" s="10"/>
      <c r="E3" s="71" t="s">
        <v>173</v>
      </c>
      <c r="F3" s="72" t="s">
        <v>188</v>
      </c>
      <c r="G3" s="73" t="s">
        <v>175</v>
      </c>
      <c r="H3" s="71" t="s">
        <v>176</v>
      </c>
      <c r="I3" s="71" t="s">
        <v>177</v>
      </c>
      <c r="J3" s="74" t="s">
        <v>178</v>
      </c>
      <c r="K3" s="74" t="s">
        <v>179</v>
      </c>
      <c r="L3" s="10"/>
      <c r="M3" s="71" t="s">
        <v>180</v>
      </c>
      <c r="N3" s="72" t="s">
        <v>181</v>
      </c>
      <c r="O3" s="72" t="s">
        <v>182</v>
      </c>
      <c r="P3" s="72" t="s">
        <v>183</v>
      </c>
      <c r="Q3" s="72" t="s">
        <v>184</v>
      </c>
      <c r="R3" s="10"/>
      <c r="S3" s="10"/>
      <c r="T3" s="10"/>
      <c r="U3" s="10"/>
      <c r="V3" s="10"/>
    </row>
    <row r="4">
      <c r="B4" s="77">
        <v>0.0</v>
      </c>
      <c r="C4" s="78">
        <v>0.0</v>
      </c>
      <c r="D4" s="78">
        <v>0.0</v>
      </c>
      <c r="E4" s="79">
        <v>88345.22175789473</v>
      </c>
      <c r="F4" s="80">
        <v>918.7903062821051</v>
      </c>
      <c r="G4" s="80"/>
      <c r="H4" s="81"/>
      <c r="I4" s="80">
        <v>89264.01206417683</v>
      </c>
      <c r="J4" s="81"/>
      <c r="K4" s="81"/>
      <c r="L4" s="81"/>
      <c r="M4" s="82"/>
      <c r="N4" s="81">
        <v>0.0</v>
      </c>
      <c r="O4" s="81">
        <v>0.0</v>
      </c>
      <c r="P4" s="79">
        <v>14654.316599999998</v>
      </c>
      <c r="Q4" s="83">
        <v>0.0</v>
      </c>
      <c r="R4" s="82">
        <v>0.0</v>
      </c>
      <c r="S4" s="83">
        <v>0.0</v>
      </c>
      <c r="T4" s="78">
        <v>0.0</v>
      </c>
      <c r="U4" s="79">
        <v>-88345.22175789473</v>
      </c>
      <c r="V4" s="79">
        <v>-88345.22175789473</v>
      </c>
    </row>
    <row r="5">
      <c r="B5" s="85">
        <v>1.0</v>
      </c>
      <c r="C5" s="78">
        <v>1.0</v>
      </c>
      <c r="D5" s="78">
        <v>0.0</v>
      </c>
      <c r="E5" s="79">
        <v>89264.01206417683</v>
      </c>
      <c r="F5" s="80">
        <v>928.345725467439</v>
      </c>
      <c r="G5" s="80"/>
      <c r="H5" s="81"/>
      <c r="I5" s="80">
        <v>90192.35778964427</v>
      </c>
      <c r="J5" s="80">
        <v>750.8696421052632</v>
      </c>
      <c r="K5" s="83">
        <v>0.0</v>
      </c>
      <c r="L5" s="81"/>
      <c r="M5" s="79">
        <v>-750.8696421052632</v>
      </c>
      <c r="N5" s="81">
        <v>0.0</v>
      </c>
      <c r="O5" s="81">
        <v>0.0</v>
      </c>
      <c r="P5" s="79">
        <v>352.63522719026747</v>
      </c>
      <c r="Q5" s="83">
        <v>0.0</v>
      </c>
      <c r="R5" s="79">
        <v>-750.8696421052632</v>
      </c>
      <c r="S5" s="83">
        <v>0.0</v>
      </c>
      <c r="T5" s="79">
        <v>-750.8696421052632</v>
      </c>
      <c r="U5" s="79">
        <v>-750.8696421052632</v>
      </c>
      <c r="V5" s="86">
        <v>22505.67110536452</v>
      </c>
    </row>
    <row r="6">
      <c r="B6" s="7"/>
      <c r="C6" s="78">
        <v>2.0</v>
      </c>
      <c r="D6" s="78">
        <v>0.0</v>
      </c>
      <c r="E6" s="79">
        <v>90192.35778964427</v>
      </c>
      <c r="F6" s="80">
        <v>938.0005210123004</v>
      </c>
      <c r="G6" s="80"/>
      <c r="H6" s="81"/>
      <c r="I6" s="80">
        <v>91130.35831065658</v>
      </c>
      <c r="J6" s="80">
        <v>750.8696421052632</v>
      </c>
      <c r="K6" s="83">
        <v>0.0</v>
      </c>
      <c r="L6" s="87">
        <v>0.0</v>
      </c>
      <c r="M6" s="79">
        <v>-750.8696421052632</v>
      </c>
      <c r="N6" s="81">
        <v>0.0</v>
      </c>
      <c r="O6" s="81">
        <v>0.0</v>
      </c>
      <c r="P6" s="79">
        <v>354.66273425468836</v>
      </c>
      <c r="Q6" s="83">
        <v>0.0</v>
      </c>
      <c r="R6" s="79">
        <v>-750.8696421052632</v>
      </c>
      <c r="S6" s="83">
        <v>0.0</v>
      </c>
      <c r="T6" s="79">
        <v>-750.8696421052632</v>
      </c>
      <c r="U6" s="79">
        <v>-750.8696421052632</v>
      </c>
      <c r="V6" s="7"/>
    </row>
    <row r="7">
      <c r="B7" s="7"/>
      <c r="C7" s="78">
        <v>3.0</v>
      </c>
      <c r="D7" s="79">
        <v>20000.0</v>
      </c>
      <c r="E7" s="79">
        <v>91130.35831065658</v>
      </c>
      <c r="F7" s="80">
        <v>947.7557264308284</v>
      </c>
      <c r="G7" s="80"/>
      <c r="H7" s="81"/>
      <c r="I7" s="80">
        <v>92078.1140370874</v>
      </c>
      <c r="J7" s="80">
        <v>3935.200694736842</v>
      </c>
      <c r="K7" s="88">
        <v>10692.360368421052</v>
      </c>
      <c r="L7" s="80">
        <v>683.1750000000001</v>
      </c>
      <c r="M7" s="79">
        <v>3741.508210411278</v>
      </c>
      <c r="N7" s="80">
        <v>740.0000000000001</v>
      </c>
      <c r="O7" s="80">
        <v>4200.0</v>
      </c>
      <c r="P7" s="79">
        <v>3270.8165258136314</v>
      </c>
      <c r="Q7" s="83">
        <v>0.0</v>
      </c>
      <c r="R7" s="79">
        <v>3001.508210411278</v>
      </c>
      <c r="S7" s="80">
        <v>1050.5278736439473</v>
      </c>
      <c r="T7" s="79">
        <v>1950.9803367673308</v>
      </c>
      <c r="U7" s="79">
        <v>3581.9110631981584</v>
      </c>
      <c r="V7" s="7"/>
    </row>
    <row r="8">
      <c r="B8" s="7"/>
      <c r="C8" s="78">
        <v>4.0</v>
      </c>
      <c r="D8" s="79">
        <v>20000.0</v>
      </c>
      <c r="E8" s="79">
        <v>92078.1140370874</v>
      </c>
      <c r="F8" s="80">
        <v>957.612385985709</v>
      </c>
      <c r="G8" s="80"/>
      <c r="H8" s="81"/>
      <c r="I8" s="80">
        <v>93035.72642307311</v>
      </c>
      <c r="J8" s="80">
        <v>3935.200694736842</v>
      </c>
      <c r="K8" s="88">
        <v>10692.360368421052</v>
      </c>
      <c r="L8" s="80">
        <v>683.1750000000001</v>
      </c>
      <c r="M8" s="79">
        <v>3731.6515508563944</v>
      </c>
      <c r="N8" s="80">
        <v>740.0000000000001</v>
      </c>
      <c r="O8" s="80">
        <v>4200.0</v>
      </c>
      <c r="P8" s="79">
        <v>3272.8864243201565</v>
      </c>
      <c r="Q8" s="83">
        <v>0.0</v>
      </c>
      <c r="R8" s="79">
        <v>2991.6515508563944</v>
      </c>
      <c r="S8" s="80">
        <v>1047.078042799738</v>
      </c>
      <c r="T8" s="79">
        <v>1944.5735080566565</v>
      </c>
      <c r="U8" s="79">
        <v>3585.3608940423674</v>
      </c>
      <c r="V8" s="7"/>
    </row>
    <row r="9">
      <c r="B9" s="7"/>
      <c r="C9" s="78">
        <v>5.0</v>
      </c>
      <c r="D9" s="79">
        <v>20000.0</v>
      </c>
      <c r="E9" s="79">
        <v>93035.72642307311</v>
      </c>
      <c r="F9" s="80">
        <v>967.5715547999603</v>
      </c>
      <c r="G9" s="80"/>
      <c r="H9" s="81"/>
      <c r="I9" s="80">
        <v>94003.29797787307</v>
      </c>
      <c r="J9" s="88">
        <v>3935.200694736842</v>
      </c>
      <c r="K9" s="88">
        <v>10692.360368421052</v>
      </c>
      <c r="L9" s="80">
        <v>683.1750000000001</v>
      </c>
      <c r="M9" s="79">
        <v>3721.6923820421443</v>
      </c>
      <c r="N9" s="80">
        <v>740.0000000000001</v>
      </c>
      <c r="O9" s="80">
        <v>4200.0</v>
      </c>
      <c r="P9" s="89">
        <v>3274.977849771149</v>
      </c>
      <c r="Q9" s="83">
        <v>0.0</v>
      </c>
      <c r="R9" s="79">
        <v>2981.6923820421443</v>
      </c>
      <c r="S9" s="80">
        <v>1043.5923337147506</v>
      </c>
      <c r="T9" s="79">
        <v>1938.1000483273938</v>
      </c>
      <c r="U9" s="79">
        <v>3588.8466031273547</v>
      </c>
      <c r="V9" s="7"/>
    </row>
    <row r="10">
      <c r="B10" s="7"/>
      <c r="C10" s="78">
        <v>6.0</v>
      </c>
      <c r="D10" s="79">
        <v>20000.0</v>
      </c>
      <c r="E10" s="79">
        <v>94003.29797787307</v>
      </c>
      <c r="F10" s="80">
        <v>977.6342989698799</v>
      </c>
      <c r="G10" s="80"/>
      <c r="H10" s="81"/>
      <c r="I10" s="80">
        <v>94980.93227684294</v>
      </c>
      <c r="J10" s="80">
        <v>3935.200694736842</v>
      </c>
      <c r="K10" s="88">
        <v>10692.360368421052</v>
      </c>
      <c r="L10" s="80">
        <v>683.1750000000001</v>
      </c>
      <c r="M10" s="79">
        <v>3711.6296378722263</v>
      </c>
      <c r="N10" s="80">
        <v>740.0000000000001</v>
      </c>
      <c r="O10" s="80">
        <v>4200.0</v>
      </c>
      <c r="P10" s="79">
        <v>3277.091026046832</v>
      </c>
      <c r="Q10" s="83">
        <v>0.0</v>
      </c>
      <c r="R10" s="79">
        <v>2971.6296378722263</v>
      </c>
      <c r="S10" s="80">
        <v>1040.0703732552793</v>
      </c>
      <c r="T10" s="79">
        <v>1931.559264616947</v>
      </c>
      <c r="U10" s="79">
        <v>3592.368563586826</v>
      </c>
      <c r="V10" s="7"/>
    </row>
    <row r="11">
      <c r="B11" s="7"/>
      <c r="C11" s="78">
        <v>7.0</v>
      </c>
      <c r="D11" s="79">
        <v>20000.0</v>
      </c>
      <c r="E11" s="79">
        <v>94980.93227684294</v>
      </c>
      <c r="F11" s="80">
        <v>987.8016956791665</v>
      </c>
      <c r="G11" s="80">
        <v>1535.853711516696</v>
      </c>
      <c r="H11" s="90">
        <v>2523.6554071958626</v>
      </c>
      <c r="I11" s="80">
        <v>93445.07856532624</v>
      </c>
      <c r="J11" s="80">
        <v>3935.200694736842</v>
      </c>
      <c r="K11" s="88">
        <v>10692.360368421052</v>
      </c>
      <c r="L11" s="80">
        <v>683.1750000000001</v>
      </c>
      <c r="M11" s="79">
        <v>3701.46224116294</v>
      </c>
      <c r="N11" s="80">
        <v>740.0000000000001</v>
      </c>
      <c r="O11" s="80">
        <v>4200.0</v>
      </c>
      <c r="P11" s="79">
        <v>3279.2261793557823</v>
      </c>
      <c r="Q11" s="83">
        <v>0.0</v>
      </c>
      <c r="R11" s="79">
        <v>1425.6085296462438</v>
      </c>
      <c r="S11" s="80">
        <v>498.9629853761853</v>
      </c>
      <c r="T11" s="79">
        <v>926.6455442700585</v>
      </c>
      <c r="U11" s="79">
        <v>1609.8205442700564</v>
      </c>
      <c r="V11" s="7"/>
    </row>
    <row r="12">
      <c r="B12" s="7"/>
      <c r="C12" s="78">
        <v>8.0</v>
      </c>
      <c r="D12" s="79">
        <v>20000.0</v>
      </c>
      <c r="E12" s="79">
        <v>93445.07856532624</v>
      </c>
      <c r="F12" s="80">
        <v>971.8288170793929</v>
      </c>
      <c r="G12" s="80">
        <v>1551.8265901164696</v>
      </c>
      <c r="H12" s="90">
        <v>2523.6554071958626</v>
      </c>
      <c r="I12" s="80">
        <v>91893.25197520977</v>
      </c>
      <c r="J12" s="80">
        <v>3935.200694736842</v>
      </c>
      <c r="K12" s="88">
        <v>10692.360368421052</v>
      </c>
      <c r="L12" s="80">
        <v>683.1750000000001</v>
      </c>
      <c r="M12" s="79">
        <v>3717.435119762712</v>
      </c>
      <c r="N12" s="80">
        <v>740.0000000000001</v>
      </c>
      <c r="O12" s="80">
        <v>4200.0</v>
      </c>
      <c r="P12" s="79">
        <v>3275.87187484983</v>
      </c>
      <c r="Q12" s="83">
        <v>0.0</v>
      </c>
      <c r="R12" s="79">
        <v>1425.6085296462425</v>
      </c>
      <c r="S12" s="80">
        <v>498.9629853761848</v>
      </c>
      <c r="T12" s="79">
        <v>926.6455442700576</v>
      </c>
      <c r="U12" s="79">
        <v>1609.8205442700569</v>
      </c>
      <c r="V12" s="7"/>
    </row>
    <row r="13">
      <c r="B13" s="7"/>
      <c r="C13" s="78">
        <v>9.0</v>
      </c>
      <c r="D13" s="79">
        <v>20000.0</v>
      </c>
      <c r="E13" s="79">
        <v>91893.25197520977</v>
      </c>
      <c r="F13" s="80">
        <v>955.6898205421816</v>
      </c>
      <c r="G13" s="80">
        <v>1567.965586653681</v>
      </c>
      <c r="H13" s="90">
        <v>2523.6554071958626</v>
      </c>
      <c r="I13" s="80">
        <v>90325.2863885561</v>
      </c>
      <c r="J13" s="80">
        <v>3935.200694736842</v>
      </c>
      <c r="K13" s="88">
        <v>10692.360368421052</v>
      </c>
      <c r="L13" s="80">
        <v>683.1750000000001</v>
      </c>
      <c r="M13" s="79">
        <v>3733.574116299923</v>
      </c>
      <c r="N13" s="80">
        <v>740.0000000000001</v>
      </c>
      <c r="O13" s="80">
        <v>4200.0</v>
      </c>
      <c r="P13" s="79">
        <v>3272.4826855770157</v>
      </c>
      <c r="Q13" s="83">
        <v>0.0</v>
      </c>
      <c r="R13" s="79">
        <v>1425.608529646242</v>
      </c>
      <c r="S13" s="80">
        <v>498.9629853761847</v>
      </c>
      <c r="T13" s="79">
        <v>926.6455442700574</v>
      </c>
      <c r="U13" s="79">
        <v>1609.8205442700569</v>
      </c>
      <c r="V13" s="7"/>
    </row>
    <row r="14">
      <c r="B14" s="7"/>
      <c r="C14" s="78">
        <v>10.0</v>
      </c>
      <c r="D14" s="79">
        <v>20000.0</v>
      </c>
      <c r="E14" s="79">
        <v>90325.2863885561</v>
      </c>
      <c r="F14" s="80">
        <v>939.3829784409834</v>
      </c>
      <c r="G14" s="80">
        <v>1584.2724287548792</v>
      </c>
      <c r="H14" s="90">
        <v>2523.6554071958626</v>
      </c>
      <c r="I14" s="80">
        <v>88741.01395980122</v>
      </c>
      <c r="J14" s="80">
        <v>3935.200694736842</v>
      </c>
      <c r="K14" s="88">
        <v>10692.360368421052</v>
      </c>
      <c r="L14" s="80">
        <v>683.1750000000001</v>
      </c>
      <c r="M14" s="79">
        <v>3749.8809584011224</v>
      </c>
      <c r="N14" s="80">
        <v>740.0000000000001</v>
      </c>
      <c r="O14" s="80">
        <v>4200.0</v>
      </c>
      <c r="P14" s="79">
        <v>3269.058248735764</v>
      </c>
      <c r="Q14" s="83">
        <v>0.0</v>
      </c>
      <c r="R14" s="79">
        <v>1425.6085296462431</v>
      </c>
      <c r="S14" s="80">
        <v>498.9629853761851</v>
      </c>
      <c r="T14" s="79">
        <v>926.645544270058</v>
      </c>
      <c r="U14" s="79">
        <v>1609.8205442700564</v>
      </c>
      <c r="V14" s="7"/>
    </row>
    <row r="15">
      <c r="B15" s="7"/>
      <c r="C15" s="78">
        <v>11.0</v>
      </c>
      <c r="D15" s="79">
        <v>20000.0</v>
      </c>
      <c r="E15" s="79">
        <v>88741.01395980122</v>
      </c>
      <c r="F15" s="80">
        <v>922.9065451819326</v>
      </c>
      <c r="G15" s="80">
        <v>1600.74886201393</v>
      </c>
      <c r="H15" s="90">
        <v>2523.6554071958626</v>
      </c>
      <c r="I15" s="80">
        <v>87140.26509778728</v>
      </c>
      <c r="J15" s="80">
        <v>3935.200694736842</v>
      </c>
      <c r="K15" s="88">
        <v>10692.360368421052</v>
      </c>
      <c r="L15" s="80">
        <v>683.1750000000001</v>
      </c>
      <c r="M15" s="79">
        <v>3766.3573916601717</v>
      </c>
      <c r="N15" s="80">
        <v>740.0000000000001</v>
      </c>
      <c r="O15" s="80">
        <v>4200.0</v>
      </c>
      <c r="P15" s="79">
        <v>3265.5981977513634</v>
      </c>
      <c r="Q15" s="83">
        <v>0.0</v>
      </c>
      <c r="R15" s="79">
        <v>1425.6085296462418</v>
      </c>
      <c r="S15" s="80">
        <v>498.9629853761846</v>
      </c>
      <c r="T15" s="79">
        <v>926.6455442700571</v>
      </c>
      <c r="U15" s="79">
        <v>1609.8205442700573</v>
      </c>
      <c r="V15" s="7"/>
    </row>
    <row r="16">
      <c r="B16" s="10"/>
      <c r="C16" s="78">
        <v>12.0</v>
      </c>
      <c r="D16" s="79">
        <v>20000.0</v>
      </c>
      <c r="E16" s="79">
        <v>87140.26509778728</v>
      </c>
      <c r="F16" s="80">
        <v>906.2587570169877</v>
      </c>
      <c r="G16" s="80">
        <v>1617.396650178875</v>
      </c>
      <c r="H16" s="90">
        <v>2523.6554071958626</v>
      </c>
      <c r="I16" s="80">
        <v>85522.8684476084</v>
      </c>
      <c r="J16" s="80">
        <v>3935.200694736842</v>
      </c>
      <c r="K16" s="88">
        <v>10692.360368421052</v>
      </c>
      <c r="L16" s="80">
        <v>683.1750000000001</v>
      </c>
      <c r="M16" s="79">
        <v>3783.005179825116</v>
      </c>
      <c r="N16" s="80">
        <v>740.0000000000001</v>
      </c>
      <c r="O16" s="80">
        <v>4200.0</v>
      </c>
      <c r="P16" s="79">
        <v>3262.1021622367252</v>
      </c>
      <c r="Q16" s="83">
        <v>0.0</v>
      </c>
      <c r="R16" s="79">
        <v>1425.608529646241</v>
      </c>
      <c r="S16" s="80">
        <v>498.96298537618435</v>
      </c>
      <c r="T16" s="79">
        <v>926.6455442700567</v>
      </c>
      <c r="U16" s="79">
        <v>1609.8205442700573</v>
      </c>
      <c r="V16" s="10"/>
    </row>
    <row r="17">
      <c r="B17" s="85">
        <v>2.0</v>
      </c>
      <c r="C17" s="78">
        <v>1.0</v>
      </c>
      <c r="D17" s="79">
        <v>20000.0</v>
      </c>
      <c r="E17" s="79">
        <v>85522.8684476084</v>
      </c>
      <c r="F17" s="80">
        <v>889.4378318551273</v>
      </c>
      <c r="G17" s="80">
        <v>1634.2175753407353</v>
      </c>
      <c r="H17" s="90">
        <v>2523.6554071958626</v>
      </c>
      <c r="I17" s="80">
        <v>83888.65087226767</v>
      </c>
      <c r="J17" s="80">
        <v>3935.200694736842</v>
      </c>
      <c r="K17" s="80">
        <v>10692.360368421052</v>
      </c>
      <c r="L17" s="80">
        <v>683.1750000000001</v>
      </c>
      <c r="M17" s="79">
        <v>3799.826104986977</v>
      </c>
      <c r="N17" s="80">
        <v>740.0000000000001</v>
      </c>
      <c r="O17" s="80">
        <v>4200.0</v>
      </c>
      <c r="P17" s="79">
        <v>3258.5697679527343</v>
      </c>
      <c r="Q17" s="83">
        <v>0.0</v>
      </c>
      <c r="R17" s="79">
        <v>1425.6085296462418</v>
      </c>
      <c r="S17" s="80">
        <v>498.9629853761846</v>
      </c>
      <c r="T17" s="79">
        <v>926.6455442700571</v>
      </c>
      <c r="U17" s="79">
        <v>1609.8205442700573</v>
      </c>
      <c r="V17" s="86">
        <v>18572.643865843416</v>
      </c>
    </row>
    <row r="18">
      <c r="B18" s="7"/>
      <c r="C18" s="78">
        <v>2.0</v>
      </c>
      <c r="D18" s="79">
        <v>20000.0</v>
      </c>
      <c r="E18" s="79">
        <v>83888.65087226767</v>
      </c>
      <c r="F18" s="80">
        <v>872.4419690715837</v>
      </c>
      <c r="G18" s="80">
        <v>1651.213438124279</v>
      </c>
      <c r="H18" s="90">
        <v>2523.6554071958626</v>
      </c>
      <c r="I18" s="80">
        <v>82237.43743414339</v>
      </c>
      <c r="J18" s="80">
        <v>3935.200694736842</v>
      </c>
      <c r="K18" s="80">
        <v>10692.360368421052</v>
      </c>
      <c r="L18" s="80">
        <v>683.1750000000001</v>
      </c>
      <c r="M18" s="79">
        <v>3816.821967770521</v>
      </c>
      <c r="N18" s="80">
        <v>740.0000000000001</v>
      </c>
      <c r="O18" s="80">
        <v>4200.0</v>
      </c>
      <c r="P18" s="79">
        <v>3255.00063676819</v>
      </c>
      <c r="Q18" s="83">
        <v>0.0</v>
      </c>
      <c r="R18" s="79">
        <v>1425.608529646242</v>
      </c>
      <c r="S18" s="80">
        <v>498.9629853761847</v>
      </c>
      <c r="T18" s="79">
        <v>926.6455442700574</v>
      </c>
      <c r="U18" s="79">
        <v>1609.8205442700569</v>
      </c>
      <c r="V18" s="7"/>
    </row>
    <row r="19">
      <c r="B19" s="7"/>
      <c r="C19" s="78">
        <v>3.0</v>
      </c>
      <c r="D19" s="79">
        <v>20000.0</v>
      </c>
      <c r="E19" s="79">
        <v>82237.43743414339</v>
      </c>
      <c r="F19" s="80">
        <v>855.2693493150912</v>
      </c>
      <c r="G19" s="80">
        <v>1668.3860578807714</v>
      </c>
      <c r="H19" s="90">
        <v>2523.6554071958626</v>
      </c>
      <c r="I19" s="80">
        <v>80569.05137626262</v>
      </c>
      <c r="J19" s="80">
        <v>3935.200694736842</v>
      </c>
      <c r="K19" s="80">
        <v>10692.360368421052</v>
      </c>
      <c r="L19" s="80">
        <v>683.1750000000001</v>
      </c>
      <c r="M19" s="79">
        <v>3833.994587527014</v>
      </c>
      <c r="N19" s="80">
        <v>740.0000000000001</v>
      </c>
      <c r="O19" s="80">
        <v>4200.0</v>
      </c>
      <c r="P19" s="79">
        <v>3251.3943866193263</v>
      </c>
      <c r="Q19" s="83">
        <v>0.0</v>
      </c>
      <c r="R19" s="79">
        <v>1425.6085296462427</v>
      </c>
      <c r="S19" s="80">
        <v>498.9629853761849</v>
      </c>
      <c r="T19" s="79">
        <v>926.6455442700578</v>
      </c>
      <c r="U19" s="79">
        <v>1609.8205442700569</v>
      </c>
      <c r="V19" s="7"/>
    </row>
    <row r="20">
      <c r="B20" s="7"/>
      <c r="C20" s="78">
        <v>4.0</v>
      </c>
      <c r="D20" s="79">
        <v>20000.0</v>
      </c>
      <c r="E20" s="79">
        <v>80569.05137626262</v>
      </c>
      <c r="F20" s="80">
        <v>837.9181343131312</v>
      </c>
      <c r="G20" s="80">
        <v>1685.7372728827313</v>
      </c>
      <c r="H20" s="90">
        <v>2523.6554071958626</v>
      </c>
      <c r="I20" s="80">
        <v>78883.31410337989</v>
      </c>
      <c r="J20" s="80">
        <v>3935.200694736842</v>
      </c>
      <c r="K20" s="80">
        <v>10692.360368421052</v>
      </c>
      <c r="L20" s="80">
        <v>683.1750000000001</v>
      </c>
      <c r="M20" s="79">
        <v>3851.3458025289738</v>
      </c>
      <c r="N20" s="80">
        <v>740.0000000000001</v>
      </c>
      <c r="O20" s="80">
        <v>4200.0</v>
      </c>
      <c r="P20" s="79">
        <v>3247.750631468915</v>
      </c>
      <c r="Q20" s="83">
        <v>0.0</v>
      </c>
      <c r="R20" s="79">
        <v>1425.6085296462425</v>
      </c>
      <c r="S20" s="80">
        <v>498.9629853761848</v>
      </c>
      <c r="T20" s="79">
        <v>926.6455442700576</v>
      </c>
      <c r="U20" s="79">
        <v>1609.8205442700569</v>
      </c>
      <c r="V20" s="7"/>
    </row>
    <row r="21">
      <c r="B21" s="7"/>
      <c r="C21" s="78">
        <v>5.0</v>
      </c>
      <c r="D21" s="79">
        <v>20000.0</v>
      </c>
      <c r="E21" s="79">
        <v>78883.31410337989</v>
      </c>
      <c r="F21" s="80">
        <v>820.3864666751508</v>
      </c>
      <c r="G21" s="80">
        <v>1703.2689405207118</v>
      </c>
      <c r="H21" s="90">
        <v>2523.6554071958626</v>
      </c>
      <c r="I21" s="80">
        <v>77180.04516285918</v>
      </c>
      <c r="J21" s="80">
        <v>3935.200694736842</v>
      </c>
      <c r="K21" s="80">
        <v>10692.360368421052</v>
      </c>
      <c r="L21" s="80">
        <v>683.1750000000001</v>
      </c>
      <c r="M21" s="79">
        <v>3868.8774701669545</v>
      </c>
      <c r="N21" s="80">
        <v>740.0000000000001</v>
      </c>
      <c r="O21" s="80">
        <v>4200.0</v>
      </c>
      <c r="P21" s="79">
        <v>3244.068981264939</v>
      </c>
      <c r="Q21" s="83">
        <v>0.0</v>
      </c>
      <c r="R21" s="79">
        <v>1425.6085296462427</v>
      </c>
      <c r="S21" s="80">
        <v>498.9629853761849</v>
      </c>
      <c r="T21" s="79">
        <v>926.6455442700578</v>
      </c>
      <c r="U21" s="79">
        <v>1609.8205442700569</v>
      </c>
      <c r="V21" s="7"/>
    </row>
    <row r="22">
      <c r="B22" s="7"/>
      <c r="C22" s="78">
        <v>6.0</v>
      </c>
      <c r="D22" s="79">
        <v>20000.0</v>
      </c>
      <c r="E22" s="79">
        <v>77180.04516285918</v>
      </c>
      <c r="F22" s="80">
        <v>802.6724696937355</v>
      </c>
      <c r="G22" s="80">
        <v>1720.9829375021272</v>
      </c>
      <c r="H22" s="90">
        <v>2523.6554071958626</v>
      </c>
      <c r="I22" s="80">
        <v>75459.06222535706</v>
      </c>
      <c r="J22" s="80">
        <v>3935.200694736842</v>
      </c>
      <c r="K22" s="80">
        <v>10692.360368421052</v>
      </c>
      <c r="L22" s="80">
        <v>683.1750000000001</v>
      </c>
      <c r="M22" s="79">
        <v>3886.5914671483706</v>
      </c>
      <c r="N22" s="80">
        <v>740.0000000000001</v>
      </c>
      <c r="O22" s="80">
        <v>4200.0</v>
      </c>
      <c r="P22" s="79">
        <v>3240.349041898842</v>
      </c>
      <c r="Q22" s="83">
        <v>0.0</v>
      </c>
      <c r="R22" s="79">
        <v>1425.6085296462434</v>
      </c>
      <c r="S22" s="80">
        <v>498.96298537618515</v>
      </c>
      <c r="T22" s="79">
        <v>926.6455442700583</v>
      </c>
      <c r="U22" s="79">
        <v>1609.8205442700564</v>
      </c>
      <c r="V22" s="7"/>
    </row>
    <row r="23">
      <c r="B23" s="7"/>
      <c r="C23" s="78">
        <v>7.0</v>
      </c>
      <c r="D23" s="79">
        <v>20000.0</v>
      </c>
      <c r="E23" s="79">
        <v>75459.06222535706</v>
      </c>
      <c r="F23" s="80">
        <v>784.7742471437134</v>
      </c>
      <c r="G23" s="80">
        <v>1738.8811600521492</v>
      </c>
      <c r="H23" s="90">
        <v>2523.6554071958626</v>
      </c>
      <c r="I23" s="80">
        <v>73720.18106530492</v>
      </c>
      <c r="J23" s="80">
        <v>3935.200694736842</v>
      </c>
      <c r="K23" s="80">
        <v>10692.360368421052</v>
      </c>
      <c r="L23" s="80">
        <v>683.1750000000001</v>
      </c>
      <c r="M23" s="79">
        <v>3904.489689698393</v>
      </c>
      <c r="N23" s="80">
        <v>740.0000000000001</v>
      </c>
      <c r="O23" s="80">
        <v>4200.0</v>
      </c>
      <c r="P23" s="79">
        <v>3236.590415163337</v>
      </c>
      <c r="Q23" s="87">
        <v>122.7555846217065</v>
      </c>
      <c r="R23" s="79">
        <v>1302.8529450245371</v>
      </c>
      <c r="S23" s="80">
        <v>455.99853075858795</v>
      </c>
      <c r="T23" s="79">
        <v>846.8544142659491</v>
      </c>
      <c r="U23" s="79">
        <v>1530.0294142659473</v>
      </c>
      <c r="V23" s="7"/>
    </row>
    <row r="24">
      <c r="B24" s="7"/>
      <c r="C24" s="78">
        <v>8.0</v>
      </c>
      <c r="D24" s="79">
        <v>20000.0</v>
      </c>
      <c r="E24" s="79">
        <v>73720.18106530492</v>
      </c>
      <c r="F24" s="80">
        <v>766.6898830791711</v>
      </c>
      <c r="G24" s="80">
        <v>1756.9655241166915</v>
      </c>
      <c r="H24" s="90">
        <v>2523.6554071958626</v>
      </c>
      <c r="I24" s="80">
        <v>71963.21554118823</v>
      </c>
      <c r="J24" s="80">
        <v>3935.200694736842</v>
      </c>
      <c r="K24" s="80">
        <v>10692.360368421052</v>
      </c>
      <c r="L24" s="80">
        <v>683.1750000000001</v>
      </c>
      <c r="M24" s="79">
        <v>3922.5740537629326</v>
      </c>
      <c r="N24" s="80">
        <v>740.0000000000001</v>
      </c>
      <c r="O24" s="80">
        <v>4200.0</v>
      </c>
      <c r="P24" s="79">
        <v>3232.7926987097835</v>
      </c>
      <c r="Q24" s="87">
        <v>203.11353327094545</v>
      </c>
      <c r="R24" s="79">
        <v>1222.4949963752956</v>
      </c>
      <c r="S24" s="80">
        <v>427.87324873135344</v>
      </c>
      <c r="T24" s="79">
        <v>794.6217476439422</v>
      </c>
      <c r="U24" s="79">
        <v>1477.7967476439426</v>
      </c>
      <c r="V24" s="7"/>
    </row>
    <row r="25">
      <c r="B25" s="7"/>
      <c r="C25" s="78">
        <v>9.0</v>
      </c>
      <c r="D25" s="79">
        <v>20000.0</v>
      </c>
      <c r="E25" s="79">
        <v>71963.21554118823</v>
      </c>
      <c r="F25" s="80">
        <v>748.4174416283576</v>
      </c>
      <c r="G25" s="80">
        <v>1775.237965567505</v>
      </c>
      <c r="H25" s="90">
        <v>2523.6554071958626</v>
      </c>
      <c r="I25" s="80">
        <v>70187.97757562072</v>
      </c>
      <c r="J25" s="80">
        <v>3935.200694736842</v>
      </c>
      <c r="K25" s="80">
        <v>10692.360368421052</v>
      </c>
      <c r="L25" s="80">
        <v>683.1750000000001</v>
      </c>
      <c r="M25" s="79">
        <v>3940.8464952137483</v>
      </c>
      <c r="N25" s="80">
        <v>740.0000000000001</v>
      </c>
      <c r="O25" s="80">
        <v>4200.0</v>
      </c>
      <c r="P25" s="79">
        <v>3228.9554860051126</v>
      </c>
      <c r="Q25" s="87">
        <v>203.91934793892636</v>
      </c>
      <c r="R25" s="79">
        <v>1221.689181707317</v>
      </c>
      <c r="S25" s="80">
        <v>427.5912135975609</v>
      </c>
      <c r="T25" s="79">
        <v>794.097968109756</v>
      </c>
      <c r="U25" s="79">
        <v>1477.2729681097544</v>
      </c>
      <c r="V25" s="7"/>
    </row>
    <row r="26">
      <c r="B26" s="7"/>
      <c r="C26" s="78">
        <v>10.0</v>
      </c>
      <c r="D26" s="79">
        <v>20000.0</v>
      </c>
      <c r="E26" s="79">
        <v>70187.97757562072</v>
      </c>
      <c r="F26" s="80">
        <v>729.9549667864555</v>
      </c>
      <c r="G26" s="80">
        <v>1793.700440409407</v>
      </c>
      <c r="H26" s="90">
        <v>2523.6554071958626</v>
      </c>
      <c r="I26" s="80">
        <v>68394.27713521132</v>
      </c>
      <c r="J26" s="80">
        <v>3935.200694736842</v>
      </c>
      <c r="K26" s="80">
        <v>10692.360368421052</v>
      </c>
      <c r="L26" s="80">
        <v>683.1750000000001</v>
      </c>
      <c r="M26" s="79">
        <v>3959.3089700556493</v>
      </c>
      <c r="N26" s="80">
        <v>740.0000000000001</v>
      </c>
      <c r="O26" s="80">
        <v>4200.0</v>
      </c>
      <c r="P26" s="79">
        <v>3225.078366288313</v>
      </c>
      <c r="Q26" s="87">
        <v>204.73354307945422</v>
      </c>
      <c r="R26" s="79">
        <v>1220.874986566788</v>
      </c>
      <c r="S26" s="80">
        <v>427.3062452983758</v>
      </c>
      <c r="T26" s="79">
        <v>793.5687412684122</v>
      </c>
      <c r="U26" s="79">
        <v>1476.7437412684117</v>
      </c>
      <c r="V26" s="7"/>
    </row>
    <row r="27">
      <c r="B27" s="7"/>
      <c r="C27" s="78">
        <v>11.0</v>
      </c>
      <c r="D27" s="79">
        <v>20000.0</v>
      </c>
      <c r="E27" s="79">
        <v>68394.27713521132</v>
      </c>
      <c r="F27" s="80">
        <v>711.3004822061977</v>
      </c>
      <c r="G27" s="80">
        <v>1812.354924989665</v>
      </c>
      <c r="H27" s="90">
        <v>2523.6554071958626</v>
      </c>
      <c r="I27" s="80">
        <v>66581.92221022166</v>
      </c>
      <c r="J27" s="80">
        <v>3935.200694736842</v>
      </c>
      <c r="K27" s="80">
        <v>10692.360368421052</v>
      </c>
      <c r="L27" s="80">
        <v>683.1750000000001</v>
      </c>
      <c r="M27" s="79">
        <v>3977.9634546359057</v>
      </c>
      <c r="N27" s="80">
        <v>740.0000000000001</v>
      </c>
      <c r="O27" s="80">
        <v>4200.0</v>
      </c>
      <c r="P27" s="79">
        <v>3221.1609245264594</v>
      </c>
      <c r="Q27" s="87">
        <v>205.5562058494435</v>
      </c>
      <c r="R27" s="79">
        <v>1220.0523237967973</v>
      </c>
      <c r="S27" s="80">
        <v>427.018313328879</v>
      </c>
      <c r="T27" s="79">
        <v>793.0340104679183</v>
      </c>
      <c r="U27" s="79">
        <v>1476.2090104679191</v>
      </c>
      <c r="V27" s="7"/>
    </row>
    <row r="28">
      <c r="B28" s="10"/>
      <c r="C28" s="78">
        <v>12.0</v>
      </c>
      <c r="D28" s="79">
        <v>20000.0</v>
      </c>
      <c r="E28" s="79">
        <v>66581.92221022166</v>
      </c>
      <c r="F28" s="80">
        <v>692.4519909863052</v>
      </c>
      <c r="G28" s="80">
        <v>1831.2034162095574</v>
      </c>
      <c r="H28" s="90">
        <v>2523.6554071958626</v>
      </c>
      <c r="I28" s="80">
        <v>64750.7187940121</v>
      </c>
      <c r="J28" s="80">
        <v>3935.200694736842</v>
      </c>
      <c r="K28" s="80">
        <v>10692.360368421052</v>
      </c>
      <c r="L28" s="80">
        <v>683.1750000000001</v>
      </c>
      <c r="M28" s="79">
        <v>3996.8119458558003</v>
      </c>
      <c r="N28" s="80">
        <v>740.0000000000001</v>
      </c>
      <c r="O28" s="80">
        <v>4200.0</v>
      </c>
      <c r="P28" s="79">
        <v>3217.2027413702817</v>
      </c>
      <c r="Q28" s="87">
        <v>206.38742431224082</v>
      </c>
      <c r="R28" s="79">
        <v>1219.221105334002</v>
      </c>
      <c r="S28" s="80">
        <v>426.7273868669007</v>
      </c>
      <c r="T28" s="79">
        <v>792.4937184671013</v>
      </c>
      <c r="U28" s="79">
        <v>1475.6687184671</v>
      </c>
      <c r="V28" s="10"/>
    </row>
    <row r="29">
      <c r="B29" s="91"/>
      <c r="C29" s="91"/>
      <c r="D29" s="92"/>
      <c r="E29" s="92"/>
      <c r="F29" s="93"/>
      <c r="G29" s="93"/>
      <c r="H29" s="94"/>
      <c r="I29" s="93"/>
      <c r="J29" s="93"/>
      <c r="K29" s="93"/>
      <c r="L29" s="93"/>
      <c r="M29" s="92"/>
      <c r="N29" s="93"/>
      <c r="O29" s="93"/>
      <c r="P29" s="92"/>
      <c r="Q29" s="95"/>
      <c r="R29" s="92"/>
      <c r="S29" s="93"/>
      <c r="T29" s="92"/>
      <c r="U29" s="92"/>
      <c r="V29" s="92"/>
    </row>
    <row r="30">
      <c r="B30" s="57" t="s">
        <v>160</v>
      </c>
      <c r="C30" s="58"/>
      <c r="D30" s="59" t="s">
        <v>161</v>
      </c>
      <c r="E30" s="60"/>
      <c r="F30" s="61" t="s">
        <v>162</v>
      </c>
      <c r="G30" s="58"/>
      <c r="H30" s="60"/>
      <c r="I30" s="60"/>
      <c r="J30" s="62" t="s">
        <v>163</v>
      </c>
      <c r="K30" s="58"/>
      <c r="L30" s="63" t="s">
        <v>185</v>
      </c>
      <c r="M30" s="60"/>
      <c r="N30" s="61" t="s">
        <v>165</v>
      </c>
      <c r="O30" s="64"/>
      <c r="P30" s="64"/>
      <c r="Q30" s="58"/>
      <c r="R30" s="65" t="s">
        <v>166</v>
      </c>
      <c r="S30" s="66" t="s">
        <v>186</v>
      </c>
      <c r="T30" s="67" t="s">
        <v>187</v>
      </c>
      <c r="U30" s="67" t="s">
        <v>169</v>
      </c>
      <c r="V30" s="67" t="s">
        <v>170</v>
      </c>
    </row>
    <row r="31">
      <c r="B31" s="70" t="s">
        <v>128</v>
      </c>
      <c r="C31" s="70" t="s">
        <v>171</v>
      </c>
      <c r="D31" s="10"/>
      <c r="E31" s="71" t="s">
        <v>173</v>
      </c>
      <c r="F31" s="72" t="s">
        <v>188</v>
      </c>
      <c r="G31" s="73" t="s">
        <v>175</v>
      </c>
      <c r="H31" s="71" t="s">
        <v>176</v>
      </c>
      <c r="I31" s="71" t="s">
        <v>177</v>
      </c>
      <c r="J31" s="74" t="s">
        <v>178</v>
      </c>
      <c r="K31" s="74" t="s">
        <v>179</v>
      </c>
      <c r="L31" s="10"/>
      <c r="M31" s="71" t="s">
        <v>180</v>
      </c>
      <c r="N31" s="72" t="s">
        <v>181</v>
      </c>
      <c r="O31" s="72" t="s">
        <v>182</v>
      </c>
      <c r="P31" s="72" t="s">
        <v>183</v>
      </c>
      <c r="Q31" s="72" t="s">
        <v>184</v>
      </c>
      <c r="R31" s="10"/>
      <c r="S31" s="10"/>
      <c r="T31" s="10"/>
      <c r="U31" s="10"/>
      <c r="V31" s="10"/>
    </row>
    <row r="32">
      <c r="B32" s="85">
        <v>3.0</v>
      </c>
      <c r="C32" s="78">
        <v>1.0</v>
      </c>
      <c r="D32" s="79">
        <v>26250.0</v>
      </c>
      <c r="E32" s="79">
        <v>64750.7187940121</v>
      </c>
      <c r="F32" s="80">
        <v>673.4074754577258</v>
      </c>
      <c r="G32" s="80">
        <v>1850.2479317381367</v>
      </c>
      <c r="H32" s="90">
        <v>2523.6554071958626</v>
      </c>
      <c r="I32" s="80">
        <v>62900.47086227396</v>
      </c>
      <c r="J32" s="80">
        <v>3935.200694736842</v>
      </c>
      <c r="K32" s="80">
        <v>12474.42042982456</v>
      </c>
      <c r="L32" s="80">
        <v>683.1750000000001</v>
      </c>
      <c r="M32" s="79">
        <v>8483.79639998087</v>
      </c>
      <c r="N32" s="80">
        <v>971.2500000000001</v>
      </c>
      <c r="O32" s="80">
        <v>5512.5</v>
      </c>
      <c r="P32" s="79">
        <v>3587.4360060040162</v>
      </c>
      <c r="Q32" s="87">
        <v>404.2634387391566</v>
      </c>
      <c r="R32" s="79">
        <v>5258.035029503578</v>
      </c>
      <c r="S32" s="80">
        <v>1840.312260326252</v>
      </c>
      <c r="T32" s="79">
        <v>3417.722769177326</v>
      </c>
      <c r="U32" s="79">
        <v>4100.897769177325</v>
      </c>
      <c r="V32" s="86">
        <v>49173.07632476237</v>
      </c>
    </row>
    <row r="33">
      <c r="B33" s="7"/>
      <c r="C33" s="78">
        <v>2.0</v>
      </c>
      <c r="D33" s="79">
        <v>26250.0</v>
      </c>
      <c r="E33" s="79">
        <v>62900.47086227396</v>
      </c>
      <c r="F33" s="80">
        <v>654.1648969676492</v>
      </c>
      <c r="G33" s="80">
        <v>1869.4905102282135</v>
      </c>
      <c r="H33" s="90">
        <v>2523.6554071958626</v>
      </c>
      <c r="I33" s="80">
        <v>61030.98035204575</v>
      </c>
      <c r="J33" s="80">
        <v>3935.200694736842</v>
      </c>
      <c r="K33" s="80">
        <v>12474.42042982456</v>
      </c>
      <c r="L33" s="80">
        <v>683.1750000000001</v>
      </c>
      <c r="M33" s="79">
        <v>8503.038978470948</v>
      </c>
      <c r="N33" s="80">
        <v>971.2500000000001</v>
      </c>
      <c r="O33" s="80">
        <v>5512.5</v>
      </c>
      <c r="P33" s="79">
        <v>3583.3950645211003</v>
      </c>
      <c r="Q33" s="87">
        <v>405.11203645056895</v>
      </c>
      <c r="R33" s="79">
        <v>5257.186431792165</v>
      </c>
      <c r="S33" s="80">
        <v>1840.0152511272577</v>
      </c>
      <c r="T33" s="79">
        <v>3417.1711806649078</v>
      </c>
      <c r="U33" s="79">
        <v>4100.346180664907</v>
      </c>
      <c r="V33" s="7"/>
    </row>
    <row r="34">
      <c r="B34" s="7"/>
      <c r="C34" s="78">
        <v>3.0</v>
      </c>
      <c r="D34" s="79">
        <v>26250.0</v>
      </c>
      <c r="E34" s="79">
        <v>61030.98035204575</v>
      </c>
      <c r="F34" s="80">
        <v>634.7221956612758</v>
      </c>
      <c r="G34" s="80">
        <v>1888.933211534587</v>
      </c>
      <c r="H34" s="90">
        <v>2523.6554071958626</v>
      </c>
      <c r="I34" s="80">
        <v>59142.04714051116</v>
      </c>
      <c r="J34" s="80">
        <v>3935.200694736842</v>
      </c>
      <c r="K34" s="80">
        <v>12474.42042982456</v>
      </c>
      <c r="L34" s="80">
        <v>683.1750000000001</v>
      </c>
      <c r="M34" s="79">
        <v>8522.48167977732</v>
      </c>
      <c r="N34" s="80">
        <v>971.2500000000001</v>
      </c>
      <c r="O34" s="80">
        <v>5512.5</v>
      </c>
      <c r="P34" s="79">
        <v>3579.312097246762</v>
      </c>
      <c r="Q34" s="87">
        <v>405.96945957818</v>
      </c>
      <c r="R34" s="79">
        <v>5256.329008664553</v>
      </c>
      <c r="S34" s="80">
        <v>1839.7151530325934</v>
      </c>
      <c r="T34" s="79">
        <v>3416.6138556319593</v>
      </c>
      <c r="U34" s="79">
        <v>4099.788855631959</v>
      </c>
      <c r="V34" s="7"/>
    </row>
    <row r="35">
      <c r="B35" s="7"/>
      <c r="C35" s="78">
        <v>4.0</v>
      </c>
      <c r="D35" s="79">
        <v>26250.0</v>
      </c>
      <c r="E35" s="79">
        <v>59142.04714051116</v>
      </c>
      <c r="F35" s="80">
        <v>615.0772902613161</v>
      </c>
      <c r="G35" s="80">
        <v>1908.5781169345464</v>
      </c>
      <c r="H35" s="90">
        <v>2523.6554071958626</v>
      </c>
      <c r="I35" s="80">
        <v>57233.46902357662</v>
      </c>
      <c r="J35" s="80">
        <v>3935.200694736842</v>
      </c>
      <c r="K35" s="80">
        <v>12474.42042982456</v>
      </c>
      <c r="L35" s="80">
        <v>683.1750000000001</v>
      </c>
      <c r="M35" s="79">
        <v>8542.12658517728</v>
      </c>
      <c r="N35" s="80">
        <v>971.2500000000001</v>
      </c>
      <c r="O35" s="80">
        <v>5512.5</v>
      </c>
      <c r="P35" s="79">
        <v>3575.186667112771</v>
      </c>
      <c r="Q35" s="87">
        <v>406.8357999063181</v>
      </c>
      <c r="R35" s="79">
        <v>5255.462668336416</v>
      </c>
      <c r="S35" s="80">
        <v>1839.4119339177455</v>
      </c>
      <c r="T35" s="79">
        <v>3416.0507344186703</v>
      </c>
      <c r="U35" s="79">
        <v>4099.225734418669</v>
      </c>
      <c r="V35" s="7"/>
    </row>
    <row r="36">
      <c r="B36" s="7"/>
      <c r="C36" s="78">
        <v>5.0</v>
      </c>
      <c r="D36" s="79">
        <v>26250.0</v>
      </c>
      <c r="E36" s="79">
        <v>57233.46902357662</v>
      </c>
      <c r="F36" s="80">
        <v>595.2280778451968</v>
      </c>
      <c r="G36" s="80">
        <v>1928.4273293506658</v>
      </c>
      <c r="H36" s="90">
        <v>2523.6554071958626</v>
      </c>
      <c r="I36" s="80">
        <v>55305.041694225954</v>
      </c>
      <c r="J36" s="80">
        <v>3935.200694736842</v>
      </c>
      <c r="K36" s="80">
        <v>12474.42042982456</v>
      </c>
      <c r="L36" s="80">
        <v>683.1750000000001</v>
      </c>
      <c r="M36" s="79">
        <v>8561.9757975934</v>
      </c>
      <c r="N36" s="80">
        <v>971.2500000000001</v>
      </c>
      <c r="O36" s="80">
        <v>5512.5</v>
      </c>
      <c r="P36" s="79">
        <v>3571.018332505386</v>
      </c>
      <c r="Q36" s="87">
        <v>407.71115017386893</v>
      </c>
      <c r="R36" s="79">
        <v>5254.587318068866</v>
      </c>
      <c r="S36" s="80">
        <v>1839.1055613241028</v>
      </c>
      <c r="T36" s="79">
        <v>3415.481756744763</v>
      </c>
      <c r="U36" s="79">
        <v>4098.656756744762</v>
      </c>
      <c r="V36" s="7"/>
    </row>
    <row r="37">
      <c r="B37" s="7"/>
      <c r="C37" s="78">
        <v>6.0</v>
      </c>
      <c r="D37" s="79">
        <v>26250.0</v>
      </c>
      <c r="E37" s="79">
        <v>55305.041694225954</v>
      </c>
      <c r="F37" s="80">
        <v>575.1724336199499</v>
      </c>
      <c r="G37" s="80">
        <v>1948.4829735759126</v>
      </c>
      <c r="H37" s="90">
        <v>2523.6554071958626</v>
      </c>
      <c r="I37" s="80">
        <v>53356.55872065004</v>
      </c>
      <c r="J37" s="80">
        <v>3935.200694736842</v>
      </c>
      <c r="K37" s="80">
        <v>12474.42042982456</v>
      </c>
      <c r="L37" s="80">
        <v>683.1750000000001</v>
      </c>
      <c r="M37" s="79">
        <v>8582.031441818646</v>
      </c>
      <c r="N37" s="80">
        <v>971.2500000000001</v>
      </c>
      <c r="O37" s="80">
        <v>5512.5</v>
      </c>
      <c r="P37" s="79">
        <v>3566.8066472180835</v>
      </c>
      <c r="Q37" s="87">
        <v>408.5956040842024</v>
      </c>
      <c r="R37" s="79">
        <v>5253.702864158531</v>
      </c>
      <c r="S37" s="80">
        <v>1838.7960024554857</v>
      </c>
      <c r="T37" s="79">
        <v>3414.9068617030453</v>
      </c>
      <c r="U37" s="79">
        <v>4098.081861703045</v>
      </c>
      <c r="V37" s="7"/>
    </row>
    <row r="38">
      <c r="B38" s="7"/>
      <c r="C38" s="78">
        <v>7.0</v>
      </c>
      <c r="D38" s="79">
        <v>26250.0</v>
      </c>
      <c r="E38" s="79">
        <v>53356.55872065004</v>
      </c>
      <c r="F38" s="80">
        <v>554.9082106947604</v>
      </c>
      <c r="G38" s="80">
        <v>1968.7471965011023</v>
      </c>
      <c r="H38" s="90">
        <v>2523.6554071958626</v>
      </c>
      <c r="I38" s="80">
        <v>51387.81152414894</v>
      </c>
      <c r="J38" s="80">
        <v>3935.200694736842</v>
      </c>
      <c r="K38" s="80">
        <v>12474.42042982456</v>
      </c>
      <c r="L38" s="80">
        <v>683.1750000000001</v>
      </c>
      <c r="M38" s="79">
        <v>8602.295664743837</v>
      </c>
      <c r="N38" s="80">
        <v>971.2500000000001</v>
      </c>
      <c r="O38" s="80">
        <v>5512.5</v>
      </c>
      <c r="P38" s="79">
        <v>3562.5511604037943</v>
      </c>
      <c r="Q38" s="87">
        <v>409.4892563152032</v>
      </c>
      <c r="R38" s="79">
        <v>5252.809211927532</v>
      </c>
      <c r="S38" s="80">
        <v>1838.483224174636</v>
      </c>
      <c r="T38" s="79">
        <v>3414.3259877528953</v>
      </c>
      <c r="U38" s="79">
        <v>4097.500987752894</v>
      </c>
      <c r="V38" s="7"/>
    </row>
    <row r="39">
      <c r="B39" s="7"/>
      <c r="C39" s="78">
        <v>8.0</v>
      </c>
      <c r="D39" s="79">
        <v>26250.0</v>
      </c>
      <c r="E39" s="79">
        <v>51387.81152414894</v>
      </c>
      <c r="F39" s="80">
        <v>534.433239851149</v>
      </c>
      <c r="G39" s="80">
        <v>1989.2221673447136</v>
      </c>
      <c r="H39" s="90">
        <v>2523.6554071958626</v>
      </c>
      <c r="I39" s="80">
        <v>49398.58935680423</v>
      </c>
      <c r="J39" s="80">
        <v>3935.200694736842</v>
      </c>
      <c r="K39" s="80">
        <v>12474.42042982456</v>
      </c>
      <c r="L39" s="80">
        <v>683.1750000000001</v>
      </c>
      <c r="M39" s="79">
        <v>8622.770635587447</v>
      </c>
      <c r="N39" s="80">
        <v>971.2500000000001</v>
      </c>
      <c r="O39" s="80">
        <v>5512.5</v>
      </c>
      <c r="P39" s="79">
        <v>3558.2514165266352</v>
      </c>
      <c r="Q39" s="87">
        <v>410.3922025294066</v>
      </c>
      <c r="R39" s="79">
        <v>5251.906265713326</v>
      </c>
      <c r="S39" s="80">
        <v>1838.1671929996642</v>
      </c>
      <c r="T39" s="79">
        <v>3413.739072713662</v>
      </c>
      <c r="U39" s="79">
        <v>4096.914072713662</v>
      </c>
      <c r="V39" s="7"/>
    </row>
    <row r="40">
      <c r="B40" s="7"/>
      <c r="C40" s="78">
        <v>9.0</v>
      </c>
      <c r="D40" s="79">
        <v>26250.0</v>
      </c>
      <c r="E40" s="79">
        <v>49398.58935680423</v>
      </c>
      <c r="F40" s="80">
        <v>513.745329310764</v>
      </c>
      <c r="G40" s="80">
        <v>2009.9100778850986</v>
      </c>
      <c r="H40" s="90">
        <v>2523.6554071958626</v>
      </c>
      <c r="I40" s="80">
        <v>47388.67927891913</v>
      </c>
      <c r="J40" s="80">
        <v>3935.200694736842</v>
      </c>
      <c r="K40" s="80">
        <v>12474.42042982456</v>
      </c>
      <c r="L40" s="80">
        <v>683.1750000000001</v>
      </c>
      <c r="M40" s="79">
        <v>8643.458546127833</v>
      </c>
      <c r="N40" s="80">
        <v>971.2500000000001</v>
      </c>
      <c r="O40" s="80">
        <v>5512.5</v>
      </c>
      <c r="P40" s="79">
        <v>3553.9069553131544</v>
      </c>
      <c r="Q40" s="87">
        <v>411.30453938423756</v>
      </c>
      <c r="R40" s="79">
        <v>5250.9939288584965</v>
      </c>
      <c r="S40" s="80">
        <v>1837.8478751004736</v>
      </c>
      <c r="T40" s="79">
        <v>3413.146053758023</v>
      </c>
      <c r="U40" s="79">
        <v>4096.321053758022</v>
      </c>
      <c r="V40" s="7"/>
    </row>
    <row r="41">
      <c r="B41" s="7"/>
      <c r="C41" s="78">
        <v>10.0</v>
      </c>
      <c r="D41" s="79">
        <v>26250.0</v>
      </c>
      <c r="E41" s="79">
        <v>47388.67927891913</v>
      </c>
      <c r="F41" s="80">
        <v>492.8422645007589</v>
      </c>
      <c r="G41" s="80">
        <v>2030.8131426951036</v>
      </c>
      <c r="H41" s="90">
        <v>2523.6554071958626</v>
      </c>
      <c r="I41" s="80">
        <v>45357.86613622403</v>
      </c>
      <c r="J41" s="80">
        <v>3935.200694736842</v>
      </c>
      <c r="K41" s="80">
        <v>12474.42042982456</v>
      </c>
      <c r="L41" s="80">
        <v>683.1750000000001</v>
      </c>
      <c r="M41" s="79">
        <v>8664.361610937838</v>
      </c>
      <c r="N41" s="80">
        <v>971.2500000000001</v>
      </c>
      <c r="O41" s="80">
        <v>5512.5</v>
      </c>
      <c r="P41" s="79">
        <v>3549.517311703054</v>
      </c>
      <c r="Q41" s="87">
        <v>412.2263645423586</v>
      </c>
      <c r="R41" s="79">
        <v>5250.072103700375</v>
      </c>
      <c r="S41" s="80">
        <v>1837.5252362951312</v>
      </c>
      <c r="T41" s="79">
        <v>3412.5468674052436</v>
      </c>
      <c r="U41" s="79">
        <v>4095.721867405243</v>
      </c>
      <c r="V41" s="7"/>
    </row>
    <row r="42">
      <c r="B42" s="7"/>
      <c r="C42" s="78">
        <v>11.0</v>
      </c>
      <c r="D42" s="79">
        <v>26250.0</v>
      </c>
      <c r="E42" s="79">
        <v>45357.86613622403</v>
      </c>
      <c r="F42" s="80">
        <v>471.7218078167299</v>
      </c>
      <c r="G42" s="80">
        <v>2051.933599379133</v>
      </c>
      <c r="H42" s="90">
        <v>2523.6554071958626</v>
      </c>
      <c r="I42" s="80">
        <v>43305.9325368449</v>
      </c>
      <c r="J42" s="80">
        <v>3935.200694736842</v>
      </c>
      <c r="K42" s="80">
        <v>12474.42042982456</v>
      </c>
      <c r="L42" s="80">
        <v>683.1750000000001</v>
      </c>
      <c r="M42" s="79">
        <v>8685.482067621866</v>
      </c>
      <c r="N42" s="80">
        <v>971.2500000000001</v>
      </c>
      <c r="O42" s="80">
        <v>5512.5</v>
      </c>
      <c r="P42" s="79">
        <v>3545.0820157994076</v>
      </c>
      <c r="Q42" s="87">
        <v>413.1577766821244</v>
      </c>
      <c r="R42" s="79">
        <v>5249.1406915606085</v>
      </c>
      <c r="S42" s="80">
        <v>1837.199242046213</v>
      </c>
      <c r="T42" s="79">
        <v>3411.9414495143956</v>
      </c>
      <c r="U42" s="79">
        <v>4095.1164495143958</v>
      </c>
      <c r="V42" s="7"/>
    </row>
    <row r="43">
      <c r="B43" s="10"/>
      <c r="C43" s="78">
        <v>12.0</v>
      </c>
      <c r="D43" s="79">
        <v>26250.0</v>
      </c>
      <c r="E43" s="79">
        <v>43305.9325368449</v>
      </c>
      <c r="F43" s="80">
        <v>450.3816983831869</v>
      </c>
      <c r="G43" s="80">
        <v>2073.2737088126755</v>
      </c>
      <c r="H43" s="90">
        <v>2523.6554071958626</v>
      </c>
      <c r="I43" s="80">
        <v>41232.658828032225</v>
      </c>
      <c r="J43" s="80">
        <v>3935.200694736842</v>
      </c>
      <c r="K43" s="80">
        <v>12474.42042982456</v>
      </c>
      <c r="L43" s="80">
        <v>683.1750000000001</v>
      </c>
      <c r="M43" s="79">
        <v>8706.822177055412</v>
      </c>
      <c r="N43" s="80">
        <v>971.2500000000001</v>
      </c>
      <c r="O43" s="80">
        <v>5512.5</v>
      </c>
      <c r="P43" s="79">
        <v>3540.6005928183636</v>
      </c>
      <c r="Q43" s="87">
        <v>414.09887550814364</v>
      </c>
      <c r="R43" s="79">
        <v>5248.199592734592</v>
      </c>
      <c r="S43" s="80">
        <v>1836.8698574571072</v>
      </c>
      <c r="T43" s="79">
        <v>3411.3297352774853</v>
      </c>
      <c r="U43" s="79">
        <v>4094.5047352774827</v>
      </c>
      <c r="V43" s="10"/>
    </row>
    <row r="44">
      <c r="B44" s="85">
        <v>4.0</v>
      </c>
      <c r="C44" s="78">
        <v>1.0</v>
      </c>
      <c r="D44" s="79">
        <v>31875.0</v>
      </c>
      <c r="E44" s="79">
        <v>41232.658828032225</v>
      </c>
      <c r="F44" s="80">
        <v>428.8196518115351</v>
      </c>
      <c r="G44" s="80">
        <v>2094.8357553843275</v>
      </c>
      <c r="H44" s="90">
        <v>2523.6554071958626</v>
      </c>
      <c r="I44" s="80">
        <v>39137.823072647894</v>
      </c>
      <c r="J44" s="80">
        <v>3935.200694736842</v>
      </c>
      <c r="K44" s="80">
        <v>15147.510521929824</v>
      </c>
      <c r="L44" s="80">
        <v>683.1750000000001</v>
      </c>
      <c r="M44" s="79">
        <v>11680.294131521798</v>
      </c>
      <c r="N44" s="80">
        <v>1179.3750000000002</v>
      </c>
      <c r="O44" s="80">
        <v>6693.75</v>
      </c>
      <c r="P44" s="79">
        <v>4097.421482380421</v>
      </c>
      <c r="Q44" s="87">
        <v>545.2289887001115</v>
      </c>
      <c r="R44" s="79">
        <v>7860.854387437359</v>
      </c>
      <c r="S44" s="80">
        <v>2751.2990356030755</v>
      </c>
      <c r="T44" s="79">
        <v>5109.555351834284</v>
      </c>
      <c r="U44" s="79">
        <v>5792.730351834283</v>
      </c>
      <c r="V44" s="86">
        <v>69470.08409040715</v>
      </c>
    </row>
    <row r="45">
      <c r="B45" s="7"/>
      <c r="C45" s="78">
        <v>2.0</v>
      </c>
      <c r="D45" s="79">
        <v>31875.0</v>
      </c>
      <c r="E45" s="79">
        <v>39137.823072647894</v>
      </c>
      <c r="F45" s="80">
        <v>407.03335995553806</v>
      </c>
      <c r="G45" s="80">
        <v>2116.6220472403247</v>
      </c>
      <c r="H45" s="90">
        <v>2523.6554071958626</v>
      </c>
      <c r="I45" s="80">
        <v>37021.20102540757</v>
      </c>
      <c r="J45" s="80">
        <v>3935.200694736842</v>
      </c>
      <c r="K45" s="80">
        <v>15147.510521929824</v>
      </c>
      <c r="L45" s="80">
        <v>683.1750000000001</v>
      </c>
      <c r="M45" s="79">
        <v>11702.080423377796</v>
      </c>
      <c r="N45" s="80">
        <v>1179.3750000000002</v>
      </c>
      <c r="O45" s="80">
        <v>6693.75</v>
      </c>
      <c r="P45" s="79">
        <v>4092.846361090663</v>
      </c>
      <c r="Q45" s="87">
        <v>546.1897641709608</v>
      </c>
      <c r="R45" s="79">
        <v>7859.893611966511</v>
      </c>
      <c r="S45" s="80">
        <v>2750.962764188279</v>
      </c>
      <c r="T45" s="79">
        <v>5108.930847778232</v>
      </c>
      <c r="U45" s="79">
        <v>5792.105847778231</v>
      </c>
      <c r="V45" s="7"/>
    </row>
    <row r="46">
      <c r="B46" s="7"/>
      <c r="C46" s="78">
        <v>3.0</v>
      </c>
      <c r="D46" s="79">
        <v>31875.0</v>
      </c>
      <c r="E46" s="79">
        <v>37021.20102540757</v>
      </c>
      <c r="F46" s="80">
        <v>385.0204906642387</v>
      </c>
      <c r="G46" s="80">
        <v>2138.6349165316237</v>
      </c>
      <c r="H46" s="90">
        <v>2523.6554071958626</v>
      </c>
      <c r="I46" s="80">
        <v>34882.56610887595</v>
      </c>
      <c r="J46" s="80">
        <v>3935.200694736842</v>
      </c>
      <c r="K46" s="80">
        <v>15147.510521929824</v>
      </c>
      <c r="L46" s="80">
        <v>683.1750000000001</v>
      </c>
      <c r="M46" s="79">
        <v>11724.093292669095</v>
      </c>
      <c r="N46" s="80">
        <v>1179.3750000000002</v>
      </c>
      <c r="O46" s="80">
        <v>6693.75</v>
      </c>
      <c r="P46" s="79">
        <v>4088.2236585394894</v>
      </c>
      <c r="Q46" s="87">
        <v>547.1605317067072</v>
      </c>
      <c r="R46" s="79">
        <v>7858.922844430763</v>
      </c>
      <c r="S46" s="80">
        <v>2750.622995550767</v>
      </c>
      <c r="T46" s="79">
        <v>5108.299848879996</v>
      </c>
      <c r="U46" s="79">
        <v>5791.474848879995</v>
      </c>
      <c r="V46" s="7"/>
    </row>
    <row r="47">
      <c r="B47" s="7"/>
      <c r="C47" s="78">
        <v>4.0</v>
      </c>
      <c r="D47" s="79">
        <v>31875.0</v>
      </c>
      <c r="E47" s="79">
        <v>34882.56610887595</v>
      </c>
      <c r="F47" s="80">
        <v>362.7786875323099</v>
      </c>
      <c r="G47" s="80">
        <v>2160.8767196635526</v>
      </c>
      <c r="H47" s="90">
        <v>2523.6554071958626</v>
      </c>
      <c r="I47" s="80">
        <v>32721.6893892124</v>
      </c>
      <c r="J47" s="80">
        <v>3935.200694736842</v>
      </c>
      <c r="K47" s="80">
        <v>15147.510521929824</v>
      </c>
      <c r="L47" s="80">
        <v>683.1750000000001</v>
      </c>
      <c r="M47" s="79">
        <v>11746.335095801023</v>
      </c>
      <c r="N47" s="80">
        <v>1179.3750000000002</v>
      </c>
      <c r="O47" s="80">
        <v>6693.75</v>
      </c>
      <c r="P47" s="79">
        <v>4083.552879881785</v>
      </c>
      <c r="Q47" s="87">
        <v>548.1413952248251</v>
      </c>
      <c r="R47" s="79">
        <v>7857.941980912645</v>
      </c>
      <c r="S47" s="80">
        <v>2750.2796933194254</v>
      </c>
      <c r="T47" s="79">
        <v>5107.662287593219</v>
      </c>
      <c r="U47" s="79">
        <v>5790.837287593218</v>
      </c>
      <c r="V47" s="7"/>
    </row>
    <row r="48">
      <c r="B48" s="7"/>
      <c r="C48" s="78">
        <v>5.0</v>
      </c>
      <c r="D48" s="79">
        <v>31875.0</v>
      </c>
      <c r="E48" s="79">
        <v>32721.6893892124</v>
      </c>
      <c r="F48" s="80">
        <v>340.3055696478089</v>
      </c>
      <c r="G48" s="80">
        <v>2183.3498375480535</v>
      </c>
      <c r="H48" s="90">
        <v>2523.6554071958626</v>
      </c>
      <c r="I48" s="80">
        <v>30538.339551664347</v>
      </c>
      <c r="J48" s="80">
        <v>3935.200694736842</v>
      </c>
      <c r="K48" s="80">
        <v>15147.510521929824</v>
      </c>
      <c r="L48" s="80">
        <v>683.1750000000001</v>
      </c>
      <c r="M48" s="79">
        <v>11768.808213685526</v>
      </c>
      <c r="N48" s="80">
        <v>1179.3750000000002</v>
      </c>
      <c r="O48" s="80">
        <v>6693.75</v>
      </c>
      <c r="P48" s="79">
        <v>4078.8335251260396</v>
      </c>
      <c r="Q48" s="87">
        <v>549.1324597235316</v>
      </c>
      <c r="R48" s="79">
        <v>7856.95091641394</v>
      </c>
      <c r="S48" s="80">
        <v>2749.932820744879</v>
      </c>
      <c r="T48" s="79">
        <v>5107.018095669061</v>
      </c>
      <c r="U48" s="79">
        <v>5790.1930956690585</v>
      </c>
      <c r="V48" s="7"/>
    </row>
    <row r="49">
      <c r="B49" s="7"/>
      <c r="C49" s="78">
        <v>6.0</v>
      </c>
      <c r="D49" s="79">
        <v>31875.0</v>
      </c>
      <c r="E49" s="79">
        <v>30538.339551664347</v>
      </c>
      <c r="F49" s="80">
        <v>317.5987313373092</v>
      </c>
      <c r="G49" s="80">
        <v>2206.0566758585533</v>
      </c>
      <c r="H49" s="90">
        <v>2523.6554071958626</v>
      </c>
      <c r="I49" s="80">
        <v>28332.282875805795</v>
      </c>
      <c r="J49" s="80">
        <v>3935.200694736842</v>
      </c>
      <c r="K49" s="80">
        <v>15147.510521929824</v>
      </c>
      <c r="L49" s="80">
        <v>683.1750000000001</v>
      </c>
      <c r="M49" s="79">
        <v>11791.515051996026</v>
      </c>
      <c r="N49" s="80">
        <v>1179.3750000000002</v>
      </c>
      <c r="O49" s="80">
        <v>6693.75</v>
      </c>
      <c r="P49" s="79">
        <v>4074.0650890808347</v>
      </c>
      <c r="Q49" s="87">
        <v>550.1338312930247</v>
      </c>
      <c r="R49" s="79">
        <v>7855.949544844449</v>
      </c>
      <c r="S49" s="80">
        <v>2749.582340695557</v>
      </c>
      <c r="T49" s="79">
        <v>5106.367204148892</v>
      </c>
      <c r="U49" s="79">
        <v>5789.542204148889</v>
      </c>
      <c r="V49" s="7"/>
    </row>
    <row r="50">
      <c r="B50" s="7"/>
      <c r="C50" s="78">
        <v>7.0</v>
      </c>
      <c r="D50" s="79">
        <v>31875.0</v>
      </c>
      <c r="E50" s="79">
        <v>28332.282875805795</v>
      </c>
      <c r="F50" s="80">
        <v>294.65574190838026</v>
      </c>
      <c r="G50" s="80">
        <v>2228.9996652874825</v>
      </c>
      <c r="H50" s="90">
        <v>2523.6554071958626</v>
      </c>
      <c r="I50" s="80">
        <v>26103.28321051831</v>
      </c>
      <c r="J50" s="80">
        <v>3935.200694736842</v>
      </c>
      <c r="K50" s="80">
        <v>15147.510521929824</v>
      </c>
      <c r="L50" s="80">
        <v>683.1750000000001</v>
      </c>
      <c r="M50" s="79">
        <v>11814.458041424954</v>
      </c>
      <c r="N50" s="80">
        <v>1179.3750000000002</v>
      </c>
      <c r="O50" s="80">
        <v>6693.75</v>
      </c>
      <c r="P50" s="79">
        <v>4069.2470613007595</v>
      </c>
      <c r="Q50" s="87">
        <v>551.1456171268405</v>
      </c>
      <c r="R50" s="79">
        <v>7854.937759010631</v>
      </c>
      <c r="S50" s="80">
        <v>2749.228215653721</v>
      </c>
      <c r="T50" s="79">
        <v>5105.70954335691</v>
      </c>
      <c r="U50" s="79">
        <v>5788.8845433569095</v>
      </c>
      <c r="V50" s="7"/>
    </row>
    <row r="51">
      <c r="B51" s="7"/>
      <c r="C51" s="78">
        <v>8.0</v>
      </c>
      <c r="D51" s="79">
        <v>31875.0</v>
      </c>
      <c r="E51" s="79">
        <v>26103.28321051831</v>
      </c>
      <c r="F51" s="80">
        <v>271.4741453893904</v>
      </c>
      <c r="G51" s="80">
        <v>2252.1812618064723</v>
      </c>
      <c r="H51" s="90">
        <v>2523.6554071958626</v>
      </c>
      <c r="I51" s="80">
        <v>23851.10194871184</v>
      </c>
      <c r="J51" s="80">
        <v>3935.200694736842</v>
      </c>
      <c r="K51" s="80">
        <v>15147.510521929824</v>
      </c>
      <c r="L51" s="80">
        <v>683.1750000000001</v>
      </c>
      <c r="M51" s="79">
        <v>11837.639637943943</v>
      </c>
      <c r="N51" s="80">
        <v>1179.3750000000002</v>
      </c>
      <c r="O51" s="80">
        <v>6693.75</v>
      </c>
      <c r="P51" s="79">
        <v>4064.378926031772</v>
      </c>
      <c r="Q51" s="87">
        <v>552.1679255333278</v>
      </c>
      <c r="R51" s="79">
        <v>7853.915450604143</v>
      </c>
      <c r="S51" s="80">
        <v>2748.87040771145</v>
      </c>
      <c r="T51" s="79">
        <v>5105.045042892693</v>
      </c>
      <c r="U51" s="79">
        <v>5788.220042892693</v>
      </c>
      <c r="V51" s="7"/>
    </row>
    <row r="52">
      <c r="B52" s="7"/>
      <c r="C52" s="78">
        <v>9.0</v>
      </c>
      <c r="D52" s="79">
        <v>31875.0</v>
      </c>
      <c r="E52" s="79">
        <v>23851.10194871184</v>
      </c>
      <c r="F52" s="80">
        <v>248.05146026660313</v>
      </c>
      <c r="G52" s="80">
        <v>2275.6039469292596</v>
      </c>
      <c r="H52" s="90">
        <v>2523.6554071958626</v>
      </c>
      <c r="I52" s="80">
        <v>21575.49800178258</v>
      </c>
      <c r="J52" s="80">
        <v>3935.200694736842</v>
      </c>
      <c r="K52" s="80">
        <v>15147.510521929824</v>
      </c>
      <c r="L52" s="80">
        <v>683.1750000000001</v>
      </c>
      <c r="M52" s="79">
        <v>11861.06232306673</v>
      </c>
      <c r="N52" s="80">
        <v>1179.3750000000002</v>
      </c>
      <c r="O52" s="80">
        <v>6693.75</v>
      </c>
      <c r="P52" s="79">
        <v>4059.460162155987</v>
      </c>
      <c r="Q52" s="87">
        <v>553.2008659472427</v>
      </c>
      <c r="R52" s="79">
        <v>7852.882510190228</v>
      </c>
      <c r="S52" s="80">
        <v>2748.5088785665794</v>
      </c>
      <c r="T52" s="79">
        <v>5104.373631623648</v>
      </c>
      <c r="U52" s="79">
        <v>5787.548631623647</v>
      </c>
      <c r="V52" s="7"/>
    </row>
    <row r="53">
      <c r="B53" s="7"/>
      <c r="C53" s="78">
        <v>10.0</v>
      </c>
      <c r="D53" s="79">
        <v>31875.0</v>
      </c>
      <c r="E53" s="79">
        <v>21575.49800178258</v>
      </c>
      <c r="F53" s="80">
        <v>224.3851792185388</v>
      </c>
      <c r="G53" s="80">
        <v>2299.270227977324</v>
      </c>
      <c r="H53" s="90">
        <v>2523.6554071958626</v>
      </c>
      <c r="I53" s="80">
        <v>19276.227773805258</v>
      </c>
      <c r="J53" s="80">
        <v>3935.200694736842</v>
      </c>
      <c r="K53" s="80">
        <v>15147.510521929824</v>
      </c>
      <c r="L53" s="80">
        <v>683.1750000000001</v>
      </c>
      <c r="M53" s="79">
        <v>11884.728604114796</v>
      </c>
      <c r="N53" s="80">
        <v>1179.3750000000002</v>
      </c>
      <c r="O53" s="80">
        <v>6693.75</v>
      </c>
      <c r="P53" s="79">
        <v>4054.490243135893</v>
      </c>
      <c r="Q53" s="87">
        <v>554.2445489414625</v>
      </c>
      <c r="R53" s="79">
        <v>7851.83882719601</v>
      </c>
      <c r="S53" s="80">
        <v>2748.143589518603</v>
      </c>
      <c r="T53" s="79">
        <v>5103.695237677407</v>
      </c>
      <c r="U53" s="79">
        <v>5786.8702376774045</v>
      </c>
      <c r="V53" s="7"/>
    </row>
    <row r="54">
      <c r="B54" s="7"/>
      <c r="C54" s="78">
        <v>11.0</v>
      </c>
      <c r="D54" s="79">
        <v>31875.0</v>
      </c>
      <c r="E54" s="79">
        <v>19276.227773805258</v>
      </c>
      <c r="F54" s="80">
        <v>200.47276884757468</v>
      </c>
      <c r="G54" s="80">
        <v>2323.182638348288</v>
      </c>
      <c r="H54" s="90">
        <v>2523.6554071958626</v>
      </c>
      <c r="I54" s="80">
        <v>16953.04513545697</v>
      </c>
      <c r="J54" s="80">
        <v>3935.200694736842</v>
      </c>
      <c r="K54" s="80">
        <v>15147.510521929824</v>
      </c>
      <c r="L54" s="80">
        <v>683.1750000000001</v>
      </c>
      <c r="M54" s="79">
        <v>11908.641014485758</v>
      </c>
      <c r="N54" s="80">
        <v>1179.3750000000002</v>
      </c>
      <c r="O54" s="80">
        <v>6693.75</v>
      </c>
      <c r="P54" s="79">
        <v>4049.46863695799</v>
      </c>
      <c r="Q54" s="87">
        <v>555.299086238822</v>
      </c>
      <c r="R54" s="79">
        <v>7850.784289898649</v>
      </c>
      <c r="S54" s="80">
        <v>2747.774501464527</v>
      </c>
      <c r="T54" s="79">
        <v>5103.009788434122</v>
      </c>
      <c r="U54" s="79">
        <v>5786.184788434121</v>
      </c>
      <c r="V54" s="7"/>
    </row>
    <row r="55">
      <c r="B55" s="10"/>
      <c r="C55" s="78">
        <v>12.0</v>
      </c>
      <c r="D55" s="79">
        <v>31875.0</v>
      </c>
      <c r="E55" s="79">
        <v>16953.04513545697</v>
      </c>
      <c r="F55" s="80">
        <v>176.3116694087525</v>
      </c>
      <c r="G55" s="80">
        <v>2347.34373778711</v>
      </c>
      <c r="H55" s="90">
        <v>2523.6554071958626</v>
      </c>
      <c r="I55" s="80">
        <v>14605.70139766986</v>
      </c>
      <c r="J55" s="80">
        <v>3935.200694736842</v>
      </c>
      <c r="K55" s="80">
        <v>15147.510521929824</v>
      </c>
      <c r="L55" s="80">
        <v>683.1750000000001</v>
      </c>
      <c r="M55" s="79">
        <v>11932.802113924583</v>
      </c>
      <c r="N55" s="80">
        <v>1179.3750000000002</v>
      </c>
      <c r="O55" s="80">
        <v>6693.75</v>
      </c>
      <c r="P55" s="79">
        <v>4044.3948060758376</v>
      </c>
      <c r="Q55" s="87">
        <v>556.3645907240741</v>
      </c>
      <c r="R55" s="79">
        <v>7849.718785413399</v>
      </c>
      <c r="S55" s="80">
        <v>2747.4015748946895</v>
      </c>
      <c r="T55" s="79">
        <v>5102.3172105187095</v>
      </c>
      <c r="U55" s="79">
        <v>5785.492210518707</v>
      </c>
      <c r="V55" s="10"/>
    </row>
    <row r="56">
      <c r="B56" s="91"/>
      <c r="C56" s="91"/>
      <c r="D56" s="92"/>
      <c r="E56" s="92"/>
      <c r="F56" s="93"/>
      <c r="G56" s="93"/>
      <c r="H56" s="94"/>
      <c r="I56" s="93"/>
      <c r="J56" s="93"/>
      <c r="K56" s="93"/>
      <c r="L56" s="93"/>
      <c r="M56" s="92"/>
      <c r="N56" s="93"/>
      <c r="O56" s="93"/>
      <c r="P56" s="92"/>
      <c r="Q56" s="95"/>
      <c r="R56" s="92"/>
      <c r="S56" s="93"/>
      <c r="T56" s="92"/>
      <c r="U56" s="92"/>
      <c r="V56" s="92"/>
    </row>
    <row r="57">
      <c r="B57" s="57" t="s">
        <v>160</v>
      </c>
      <c r="C57" s="58"/>
      <c r="D57" s="59" t="s">
        <v>161</v>
      </c>
      <c r="E57" s="60"/>
      <c r="F57" s="61" t="s">
        <v>162</v>
      </c>
      <c r="G57" s="58"/>
      <c r="H57" s="60"/>
      <c r="I57" s="60"/>
      <c r="J57" s="62" t="s">
        <v>163</v>
      </c>
      <c r="K57" s="58"/>
      <c r="L57" s="63" t="s">
        <v>185</v>
      </c>
      <c r="M57" s="60"/>
      <c r="N57" s="61" t="s">
        <v>165</v>
      </c>
      <c r="O57" s="64"/>
      <c r="P57" s="64"/>
      <c r="Q57" s="58"/>
      <c r="R57" s="65" t="s">
        <v>166</v>
      </c>
      <c r="S57" s="66" t="s">
        <v>186</v>
      </c>
      <c r="T57" s="67" t="s">
        <v>187</v>
      </c>
      <c r="U57" s="67" t="s">
        <v>169</v>
      </c>
      <c r="V57" s="67" t="s">
        <v>170</v>
      </c>
    </row>
    <row r="58">
      <c r="B58" s="70" t="s">
        <v>128</v>
      </c>
      <c r="C58" s="70" t="s">
        <v>171</v>
      </c>
      <c r="D58" s="10"/>
      <c r="E58" s="71" t="s">
        <v>173</v>
      </c>
      <c r="F58" s="72" t="s">
        <v>188</v>
      </c>
      <c r="G58" s="73" t="s">
        <v>175</v>
      </c>
      <c r="H58" s="71" t="s">
        <v>176</v>
      </c>
      <c r="I58" s="71" t="s">
        <v>177</v>
      </c>
      <c r="J58" s="74" t="s">
        <v>178</v>
      </c>
      <c r="K58" s="74" t="s">
        <v>179</v>
      </c>
      <c r="L58" s="10"/>
      <c r="M58" s="71" t="s">
        <v>180</v>
      </c>
      <c r="N58" s="72" t="s">
        <v>181</v>
      </c>
      <c r="O58" s="72" t="s">
        <v>182</v>
      </c>
      <c r="P58" s="72" t="s">
        <v>183</v>
      </c>
      <c r="Q58" s="72" t="s">
        <v>184</v>
      </c>
      <c r="R58" s="10"/>
      <c r="S58" s="10"/>
      <c r="T58" s="10"/>
      <c r="U58" s="10"/>
      <c r="V58" s="10"/>
    </row>
    <row r="59">
      <c r="B59" s="85">
        <v>5.0</v>
      </c>
      <c r="C59" s="78">
        <v>1.0</v>
      </c>
      <c r="D59" s="79">
        <v>41666.66666666667</v>
      </c>
      <c r="E59" s="79">
        <v>14605.70139766986</v>
      </c>
      <c r="F59" s="80">
        <v>151.89929453576653</v>
      </c>
      <c r="G59" s="80">
        <v>2371.7561126600963</v>
      </c>
      <c r="H59" s="90">
        <v>2523.6554071958626</v>
      </c>
      <c r="I59" s="80">
        <v>12233.945285009764</v>
      </c>
      <c r="J59" s="80">
        <v>3935.200694736842</v>
      </c>
      <c r="K59" s="80">
        <v>17820.600614035087</v>
      </c>
      <c r="L59" s="80">
        <v>683.1750000000001</v>
      </c>
      <c r="M59" s="79">
        <v>19075.791063358974</v>
      </c>
      <c r="N59" s="80">
        <v>1541.666666666667</v>
      </c>
      <c r="O59" s="80">
        <v>8750.0</v>
      </c>
      <c r="P59" s="79">
        <v>4600.617126694616</v>
      </c>
      <c r="Q59" s="87">
        <v>871.3704033941307</v>
      </c>
      <c r="R59" s="79">
        <v>14290.997880638079</v>
      </c>
      <c r="S59" s="80">
        <v>5001.8492582233275</v>
      </c>
      <c r="T59" s="79">
        <v>9289.148622414752</v>
      </c>
      <c r="U59" s="79">
        <v>9972.323622414755</v>
      </c>
      <c r="V59" s="86">
        <v>129473.26030062589</v>
      </c>
    </row>
    <row r="60">
      <c r="B60" s="7"/>
      <c r="C60" s="78">
        <v>2.0</v>
      </c>
      <c r="D60" s="79">
        <v>41666.66666666667</v>
      </c>
      <c r="E60" s="79">
        <v>12233.945285009764</v>
      </c>
      <c r="F60" s="80">
        <v>127.23303096410154</v>
      </c>
      <c r="G60" s="80">
        <v>2396.422376231761</v>
      </c>
      <c r="H60" s="90">
        <v>2523.6554071958626</v>
      </c>
      <c r="I60" s="80">
        <v>9837.522908778003</v>
      </c>
      <c r="J60" s="80">
        <v>3935.200694736842</v>
      </c>
      <c r="K60" s="80">
        <v>17820.600614035087</v>
      </c>
      <c r="L60" s="80">
        <v>683.1750000000001</v>
      </c>
      <c r="M60" s="79">
        <v>19100.45732693064</v>
      </c>
      <c r="N60" s="80">
        <v>1541.666666666667</v>
      </c>
      <c r="O60" s="80">
        <v>8750.0</v>
      </c>
      <c r="P60" s="79">
        <v>4595.437211344566</v>
      </c>
      <c r="Q60" s="87">
        <v>872.4581856176411</v>
      </c>
      <c r="R60" s="79">
        <v>14289.910098414568</v>
      </c>
      <c r="S60" s="80">
        <v>5001.468534445098</v>
      </c>
      <c r="T60" s="79">
        <v>9288.44156396947</v>
      </c>
      <c r="U60" s="79">
        <v>9971.616563969474</v>
      </c>
      <c r="V60" s="7"/>
    </row>
    <row r="61">
      <c r="B61" s="7"/>
      <c r="C61" s="78">
        <v>3.0</v>
      </c>
      <c r="D61" s="79">
        <v>41666.66666666667</v>
      </c>
      <c r="E61" s="79">
        <v>9837.522908778003</v>
      </c>
      <c r="F61" s="80">
        <v>102.31023825129122</v>
      </c>
      <c r="G61" s="80">
        <v>2421.3451689445715</v>
      </c>
      <c r="H61" s="90">
        <v>2523.6554071958626</v>
      </c>
      <c r="I61" s="80">
        <v>7416.177739833431</v>
      </c>
      <c r="J61" s="80">
        <v>3935.200694736842</v>
      </c>
      <c r="K61" s="80">
        <v>17820.600614035087</v>
      </c>
      <c r="L61" s="80">
        <v>683.1750000000001</v>
      </c>
      <c r="M61" s="79">
        <v>19125.380119643454</v>
      </c>
      <c r="N61" s="80">
        <v>1541.666666666667</v>
      </c>
      <c r="O61" s="80">
        <v>8750.0</v>
      </c>
      <c r="P61" s="79">
        <v>4590.203424874876</v>
      </c>
      <c r="Q61" s="87">
        <v>873.557280776276</v>
      </c>
      <c r="R61" s="79">
        <v>14288.811003255938</v>
      </c>
      <c r="S61" s="80">
        <v>5001.083851139578</v>
      </c>
      <c r="T61" s="79">
        <v>9287.72715211636</v>
      </c>
      <c r="U61" s="79">
        <v>9970.90215211636</v>
      </c>
      <c r="V61" s="7"/>
    </row>
    <row r="62">
      <c r="B62" s="7"/>
      <c r="C62" s="78">
        <v>4.0</v>
      </c>
      <c r="D62" s="79">
        <v>41666.66666666667</v>
      </c>
      <c r="E62" s="79">
        <v>7416.177739833431</v>
      </c>
      <c r="F62" s="80">
        <v>77.12824849426768</v>
      </c>
      <c r="G62" s="80">
        <v>2446.527158701595</v>
      </c>
      <c r="H62" s="90">
        <v>2523.6554071958626</v>
      </c>
      <c r="I62" s="80">
        <v>4969.650581131836</v>
      </c>
      <c r="J62" s="80">
        <v>3935.200694736842</v>
      </c>
      <c r="K62" s="80">
        <v>17820.600614035087</v>
      </c>
      <c r="L62" s="80">
        <v>683.1750000000001</v>
      </c>
      <c r="M62" s="79">
        <v>19150.56210940047</v>
      </c>
      <c r="N62" s="80">
        <v>1541.666666666667</v>
      </c>
      <c r="O62" s="80">
        <v>8750.0</v>
      </c>
      <c r="P62" s="79">
        <v>4584.9152070259015</v>
      </c>
      <c r="Q62" s="87">
        <v>874.6678065245607</v>
      </c>
      <c r="R62" s="79">
        <v>14287.700477507646</v>
      </c>
      <c r="S62" s="80">
        <v>5000.695167127676</v>
      </c>
      <c r="T62" s="79">
        <v>9287.00531037997</v>
      </c>
      <c r="U62" s="79">
        <v>9970.180310379976</v>
      </c>
      <c r="V62" s="7"/>
    </row>
    <row r="63">
      <c r="B63" s="7"/>
      <c r="C63" s="78">
        <v>5.0</v>
      </c>
      <c r="D63" s="79">
        <v>41666.66666666667</v>
      </c>
      <c r="E63" s="79">
        <v>4969.650581131836</v>
      </c>
      <c r="F63" s="80">
        <v>51.684366043771085</v>
      </c>
      <c r="G63" s="80">
        <v>2471.9710411520914</v>
      </c>
      <c r="H63" s="90">
        <v>2523.6554071958626</v>
      </c>
      <c r="I63" s="80">
        <v>2497.6795399797443</v>
      </c>
      <c r="J63" s="80">
        <v>3935.200694736842</v>
      </c>
      <c r="K63" s="80">
        <v>17820.600614035087</v>
      </c>
      <c r="L63" s="80">
        <v>683.1750000000001</v>
      </c>
      <c r="M63" s="79">
        <v>19176.00599185097</v>
      </c>
      <c r="N63" s="80">
        <v>1541.666666666667</v>
      </c>
      <c r="O63" s="80">
        <v>8750.0</v>
      </c>
      <c r="P63" s="79">
        <v>4579.5719917112965</v>
      </c>
      <c r="Q63" s="87">
        <v>875.7898817406277</v>
      </c>
      <c r="R63" s="79">
        <v>14286.578402291581</v>
      </c>
      <c r="S63" s="80">
        <v>5000.302440802053</v>
      </c>
      <c r="T63" s="79">
        <v>9286.27596148953</v>
      </c>
      <c r="U63" s="79">
        <v>9969.450961489532</v>
      </c>
      <c r="V63" s="7"/>
    </row>
    <row r="64">
      <c r="B64" s="7"/>
      <c r="C64" s="78">
        <v>6.0</v>
      </c>
      <c r="D64" s="79">
        <v>41666.66666666667</v>
      </c>
      <c r="E64" s="79">
        <v>2497.6795399797443</v>
      </c>
      <c r="F64" s="80">
        <v>25.97586721578934</v>
      </c>
      <c r="G64" s="80">
        <v>2497.679539980073</v>
      </c>
      <c r="H64" s="90">
        <v>2523.6554071958626</v>
      </c>
      <c r="I64" s="80">
        <v>-3.2878233469091356E-10</v>
      </c>
      <c r="J64" s="80">
        <v>3935.200694736842</v>
      </c>
      <c r="K64" s="80">
        <v>17820.600614035087</v>
      </c>
      <c r="L64" s="80">
        <v>683.1750000000001</v>
      </c>
      <c r="M64" s="79">
        <v>19201.71449067895</v>
      </c>
      <c r="N64" s="80">
        <v>1541.666666666667</v>
      </c>
      <c r="O64" s="80">
        <v>8750.0</v>
      </c>
      <c r="P64" s="79">
        <v>4574.173206957421</v>
      </c>
      <c r="Q64" s="87">
        <v>876.9236265389416</v>
      </c>
      <c r="R64" s="79">
        <v>14285.44465749327</v>
      </c>
      <c r="S64" s="80">
        <v>4999.905630122644</v>
      </c>
      <c r="T64" s="79">
        <v>9285.539027370625</v>
      </c>
      <c r="U64" s="79">
        <v>9968.714027370628</v>
      </c>
      <c r="V64" s="7"/>
    </row>
    <row r="65">
      <c r="B65" s="7"/>
      <c r="C65" s="78">
        <v>7.0</v>
      </c>
      <c r="D65" s="79">
        <v>41666.66666666667</v>
      </c>
      <c r="E65" s="82"/>
      <c r="F65" s="81"/>
      <c r="G65" s="80"/>
      <c r="H65" s="81"/>
      <c r="I65" s="81"/>
      <c r="J65" s="80">
        <v>3935.200694736842</v>
      </c>
      <c r="K65" s="80">
        <v>17820.600614035087</v>
      </c>
      <c r="L65" s="80">
        <v>683.1750000000001</v>
      </c>
      <c r="M65" s="79">
        <v>19227.690357894742</v>
      </c>
      <c r="N65" s="80">
        <v>1541.666666666667</v>
      </c>
      <c r="O65" s="80">
        <v>8750.0</v>
      </c>
      <c r="P65" s="79">
        <v>4568.7182748421055</v>
      </c>
      <c r="Q65" s="87">
        <v>878.0691622831578</v>
      </c>
      <c r="R65" s="79">
        <v>16807.954528944916</v>
      </c>
      <c r="S65" s="80">
        <v>5882.78408513072</v>
      </c>
      <c r="T65" s="79">
        <v>10925.170443814197</v>
      </c>
      <c r="U65" s="79">
        <v>11608.345443814196</v>
      </c>
      <c r="V65" s="7"/>
    </row>
    <row r="66">
      <c r="B66" s="7"/>
      <c r="C66" s="78">
        <v>8.0</v>
      </c>
      <c r="D66" s="79">
        <v>41666.66666666667</v>
      </c>
      <c r="E66" s="82"/>
      <c r="F66" s="81"/>
      <c r="G66" s="80"/>
      <c r="H66" s="81"/>
      <c r="I66" s="81"/>
      <c r="J66" s="80">
        <v>3935.200694736842</v>
      </c>
      <c r="K66" s="80">
        <v>17820.600614035087</v>
      </c>
      <c r="L66" s="80">
        <v>683.1750000000001</v>
      </c>
      <c r="M66" s="79">
        <v>19227.690357894742</v>
      </c>
      <c r="N66" s="80">
        <v>1541.666666666667</v>
      </c>
      <c r="O66" s="80">
        <v>8750.0</v>
      </c>
      <c r="P66" s="79">
        <v>4568.7182748421055</v>
      </c>
      <c r="Q66" s="87">
        <v>878.0691622831578</v>
      </c>
      <c r="R66" s="79">
        <v>16807.954528944916</v>
      </c>
      <c r="S66" s="80">
        <v>5882.78408513072</v>
      </c>
      <c r="T66" s="79">
        <v>10925.170443814197</v>
      </c>
      <c r="U66" s="79">
        <v>11608.345443814196</v>
      </c>
      <c r="V66" s="7"/>
    </row>
    <row r="67">
      <c r="B67" s="7"/>
      <c r="C67" s="78">
        <v>9.0</v>
      </c>
      <c r="D67" s="79">
        <v>41666.66666666667</v>
      </c>
      <c r="E67" s="82"/>
      <c r="F67" s="81"/>
      <c r="G67" s="80"/>
      <c r="H67" s="81"/>
      <c r="I67" s="81"/>
      <c r="J67" s="80">
        <v>3935.200694736842</v>
      </c>
      <c r="K67" s="80">
        <v>17820.600614035087</v>
      </c>
      <c r="L67" s="80">
        <v>683.1750000000001</v>
      </c>
      <c r="M67" s="79">
        <v>19227.690357894742</v>
      </c>
      <c r="N67" s="80">
        <v>1541.666666666667</v>
      </c>
      <c r="O67" s="80">
        <v>8750.0</v>
      </c>
      <c r="P67" s="79">
        <v>4568.7182748421055</v>
      </c>
      <c r="Q67" s="87">
        <v>878.0691622831578</v>
      </c>
      <c r="R67" s="79">
        <v>16807.954528944916</v>
      </c>
      <c r="S67" s="80">
        <v>5882.78408513072</v>
      </c>
      <c r="T67" s="79">
        <v>10925.170443814197</v>
      </c>
      <c r="U67" s="79">
        <v>11608.345443814196</v>
      </c>
      <c r="V67" s="7"/>
    </row>
    <row r="68">
      <c r="B68" s="7"/>
      <c r="C68" s="78">
        <v>10.0</v>
      </c>
      <c r="D68" s="79">
        <v>41666.66666666667</v>
      </c>
      <c r="E68" s="82"/>
      <c r="F68" s="81"/>
      <c r="G68" s="80"/>
      <c r="H68" s="81"/>
      <c r="I68" s="81"/>
      <c r="J68" s="80">
        <v>3935.200694736842</v>
      </c>
      <c r="K68" s="80">
        <v>17820.600614035087</v>
      </c>
      <c r="L68" s="80">
        <v>683.1750000000001</v>
      </c>
      <c r="M68" s="79">
        <v>19227.690357894742</v>
      </c>
      <c r="N68" s="80">
        <v>1541.666666666667</v>
      </c>
      <c r="O68" s="80">
        <v>8750.0</v>
      </c>
      <c r="P68" s="79">
        <v>4568.7182748421055</v>
      </c>
      <c r="Q68" s="87">
        <v>878.0691622831578</v>
      </c>
      <c r="R68" s="79">
        <v>16807.954528944916</v>
      </c>
      <c r="S68" s="80">
        <v>5882.78408513072</v>
      </c>
      <c r="T68" s="79">
        <v>10925.170443814197</v>
      </c>
      <c r="U68" s="79">
        <v>11608.345443814196</v>
      </c>
      <c r="V68" s="7"/>
    </row>
    <row r="69">
      <c r="B69" s="7"/>
      <c r="C69" s="78">
        <v>11.0</v>
      </c>
      <c r="D69" s="79">
        <v>41666.66666666667</v>
      </c>
      <c r="E69" s="82"/>
      <c r="F69" s="81"/>
      <c r="G69" s="80"/>
      <c r="H69" s="81"/>
      <c r="I69" s="81"/>
      <c r="J69" s="80">
        <v>3935.200694736842</v>
      </c>
      <c r="K69" s="80">
        <v>17820.600614035087</v>
      </c>
      <c r="L69" s="80">
        <v>683.1750000000001</v>
      </c>
      <c r="M69" s="79">
        <v>19227.690357894742</v>
      </c>
      <c r="N69" s="80">
        <v>1541.666666666667</v>
      </c>
      <c r="O69" s="80">
        <v>8750.0</v>
      </c>
      <c r="P69" s="79">
        <v>4568.7182748421055</v>
      </c>
      <c r="Q69" s="87">
        <v>878.0691622831578</v>
      </c>
      <c r="R69" s="79">
        <v>16807.954528944916</v>
      </c>
      <c r="S69" s="80">
        <v>5882.78408513072</v>
      </c>
      <c r="T69" s="79">
        <v>10925.170443814197</v>
      </c>
      <c r="U69" s="79">
        <v>11608.345443814196</v>
      </c>
      <c r="V69" s="7"/>
    </row>
    <row r="70">
      <c r="B70" s="10"/>
      <c r="C70" s="78">
        <v>12.0</v>
      </c>
      <c r="D70" s="79">
        <v>41666.66666666667</v>
      </c>
      <c r="E70" s="82"/>
      <c r="F70" s="81"/>
      <c r="G70" s="80"/>
      <c r="H70" s="81"/>
      <c r="I70" s="81"/>
      <c r="J70" s="80">
        <v>3935.200694736842</v>
      </c>
      <c r="K70" s="80">
        <v>17820.600614035087</v>
      </c>
      <c r="L70" s="80">
        <v>683.1750000000001</v>
      </c>
      <c r="M70" s="79">
        <v>19227.690357894742</v>
      </c>
      <c r="N70" s="80">
        <v>1541.666666666667</v>
      </c>
      <c r="O70" s="80">
        <v>8750.0</v>
      </c>
      <c r="P70" s="79">
        <v>4568.7182748421055</v>
      </c>
      <c r="Q70" s="87">
        <v>878.0691622831578</v>
      </c>
      <c r="R70" s="79">
        <v>16807.954528944916</v>
      </c>
      <c r="S70" s="80">
        <v>5882.78408513072</v>
      </c>
      <c r="T70" s="79">
        <v>10925.170443814197</v>
      </c>
      <c r="U70" s="79">
        <v>11608.345443814196</v>
      </c>
      <c r="V70" s="10"/>
    </row>
    <row r="71">
      <c r="B71" s="85">
        <v>6.0</v>
      </c>
      <c r="C71" s="78">
        <v>1.0</v>
      </c>
      <c r="D71" s="79">
        <v>41666.66666666667</v>
      </c>
      <c r="E71" s="82"/>
      <c r="F71" s="81"/>
      <c r="G71" s="80"/>
      <c r="H71" s="81"/>
      <c r="I71" s="81"/>
      <c r="J71" s="80">
        <v>3935.200694736842</v>
      </c>
      <c r="K71" s="80">
        <v>17820.600614035087</v>
      </c>
      <c r="L71" s="80">
        <v>683.1750000000001</v>
      </c>
      <c r="M71" s="79">
        <v>19227.690357894742</v>
      </c>
      <c r="N71" s="80">
        <v>1541.666666666667</v>
      </c>
      <c r="O71" s="80">
        <v>8750.0</v>
      </c>
      <c r="P71" s="79">
        <v>4568.7182748421055</v>
      </c>
      <c r="Q71" s="87">
        <v>878.0691622831578</v>
      </c>
      <c r="R71" s="79">
        <v>16807.954528944916</v>
      </c>
      <c r="S71" s="80">
        <v>5882.78408513072</v>
      </c>
      <c r="T71" s="79">
        <v>10925.170443814197</v>
      </c>
      <c r="U71" s="79">
        <v>11608.345443814196</v>
      </c>
      <c r="V71" s="86">
        <v>139300.14532577034</v>
      </c>
    </row>
    <row r="72">
      <c r="B72" s="7"/>
      <c r="C72" s="78">
        <v>2.0</v>
      </c>
      <c r="D72" s="79">
        <v>41666.66666666667</v>
      </c>
      <c r="E72" s="82"/>
      <c r="F72" s="81"/>
      <c r="G72" s="80"/>
      <c r="H72" s="81"/>
      <c r="I72" s="81"/>
      <c r="J72" s="80">
        <v>3935.200694736842</v>
      </c>
      <c r="K72" s="80">
        <v>17820.600614035087</v>
      </c>
      <c r="L72" s="80">
        <v>683.1750000000001</v>
      </c>
      <c r="M72" s="79">
        <v>19227.690357894742</v>
      </c>
      <c r="N72" s="80">
        <v>1541.666666666667</v>
      </c>
      <c r="O72" s="80">
        <v>8750.0</v>
      </c>
      <c r="P72" s="79">
        <v>4568.7182748421055</v>
      </c>
      <c r="Q72" s="87">
        <v>878.0691622831578</v>
      </c>
      <c r="R72" s="79">
        <v>16807.954528944916</v>
      </c>
      <c r="S72" s="80">
        <v>5882.78408513072</v>
      </c>
      <c r="T72" s="79">
        <v>10925.170443814197</v>
      </c>
      <c r="U72" s="79">
        <v>11608.345443814196</v>
      </c>
      <c r="V72" s="7"/>
    </row>
    <row r="73">
      <c r="B73" s="7"/>
      <c r="C73" s="78">
        <v>3.0</v>
      </c>
      <c r="D73" s="79">
        <v>41666.66666666667</v>
      </c>
      <c r="E73" s="82"/>
      <c r="F73" s="81"/>
      <c r="G73" s="80"/>
      <c r="H73" s="81"/>
      <c r="I73" s="81"/>
      <c r="J73" s="80">
        <v>3935.200694736842</v>
      </c>
      <c r="K73" s="80">
        <v>17820.600614035087</v>
      </c>
      <c r="L73" s="80">
        <v>683.1750000000001</v>
      </c>
      <c r="M73" s="79">
        <v>19227.690357894742</v>
      </c>
      <c r="N73" s="80">
        <v>1541.666666666667</v>
      </c>
      <c r="O73" s="80">
        <v>8750.0</v>
      </c>
      <c r="P73" s="79">
        <v>4568.7182748421055</v>
      </c>
      <c r="Q73" s="87">
        <v>878.0691622831578</v>
      </c>
      <c r="R73" s="79">
        <v>16807.954528944916</v>
      </c>
      <c r="S73" s="80">
        <v>5882.78408513072</v>
      </c>
      <c r="T73" s="79">
        <v>10925.170443814197</v>
      </c>
      <c r="U73" s="79">
        <v>11608.345443814196</v>
      </c>
      <c r="V73" s="7"/>
    </row>
    <row r="74">
      <c r="B74" s="7"/>
      <c r="C74" s="78">
        <v>4.0</v>
      </c>
      <c r="D74" s="79">
        <v>41666.66666666667</v>
      </c>
      <c r="E74" s="82"/>
      <c r="F74" s="81"/>
      <c r="G74" s="80"/>
      <c r="H74" s="81"/>
      <c r="I74" s="81"/>
      <c r="J74" s="80">
        <v>3935.200694736842</v>
      </c>
      <c r="K74" s="80">
        <v>17820.600614035087</v>
      </c>
      <c r="L74" s="80">
        <v>683.1750000000001</v>
      </c>
      <c r="M74" s="79">
        <v>19227.690357894742</v>
      </c>
      <c r="N74" s="80">
        <v>1541.666666666667</v>
      </c>
      <c r="O74" s="80">
        <v>8750.0</v>
      </c>
      <c r="P74" s="79">
        <v>4568.7182748421055</v>
      </c>
      <c r="Q74" s="87">
        <v>878.0691622831578</v>
      </c>
      <c r="R74" s="79">
        <v>16807.954528944916</v>
      </c>
      <c r="S74" s="80">
        <v>5882.78408513072</v>
      </c>
      <c r="T74" s="79">
        <v>10925.170443814197</v>
      </c>
      <c r="U74" s="79">
        <v>11608.345443814196</v>
      </c>
      <c r="V74" s="7"/>
    </row>
    <row r="75">
      <c r="B75" s="7"/>
      <c r="C75" s="78">
        <v>5.0</v>
      </c>
      <c r="D75" s="79">
        <v>41666.66666666667</v>
      </c>
      <c r="E75" s="82"/>
      <c r="F75" s="81"/>
      <c r="G75" s="80"/>
      <c r="H75" s="81"/>
      <c r="I75" s="81"/>
      <c r="J75" s="80">
        <v>3935.200694736842</v>
      </c>
      <c r="K75" s="80">
        <v>17820.600614035087</v>
      </c>
      <c r="L75" s="80">
        <v>683.1750000000001</v>
      </c>
      <c r="M75" s="79">
        <v>19227.690357894742</v>
      </c>
      <c r="N75" s="80">
        <v>1541.666666666667</v>
      </c>
      <c r="O75" s="80">
        <v>8750.0</v>
      </c>
      <c r="P75" s="79">
        <v>4568.7182748421055</v>
      </c>
      <c r="Q75" s="87">
        <v>878.0691622831578</v>
      </c>
      <c r="R75" s="79">
        <v>16807.954528944916</v>
      </c>
      <c r="S75" s="80">
        <v>5882.78408513072</v>
      </c>
      <c r="T75" s="79">
        <v>10925.170443814197</v>
      </c>
      <c r="U75" s="79">
        <v>11608.345443814196</v>
      </c>
      <c r="V75" s="7"/>
    </row>
    <row r="76">
      <c r="B76" s="7"/>
      <c r="C76" s="78">
        <v>6.0</v>
      </c>
      <c r="D76" s="79">
        <v>41666.66666666667</v>
      </c>
      <c r="E76" s="82"/>
      <c r="F76" s="81"/>
      <c r="G76" s="80"/>
      <c r="H76" s="81"/>
      <c r="I76" s="81"/>
      <c r="J76" s="80">
        <v>3935.200694736842</v>
      </c>
      <c r="K76" s="80">
        <v>17820.600614035087</v>
      </c>
      <c r="L76" s="80">
        <v>683.1750000000001</v>
      </c>
      <c r="M76" s="79">
        <v>19227.690357894742</v>
      </c>
      <c r="N76" s="80">
        <v>1541.666666666667</v>
      </c>
      <c r="O76" s="80">
        <v>8750.0</v>
      </c>
      <c r="P76" s="79">
        <v>4568.7182748421055</v>
      </c>
      <c r="Q76" s="87">
        <v>878.0691622831578</v>
      </c>
      <c r="R76" s="79">
        <v>16807.954528944916</v>
      </c>
      <c r="S76" s="80">
        <v>5882.78408513072</v>
      </c>
      <c r="T76" s="79">
        <v>10925.170443814197</v>
      </c>
      <c r="U76" s="79">
        <v>11608.345443814196</v>
      </c>
      <c r="V76" s="7"/>
    </row>
    <row r="77">
      <c r="B77" s="7"/>
      <c r="C77" s="78">
        <v>7.0</v>
      </c>
      <c r="D77" s="79">
        <v>41666.66666666667</v>
      </c>
      <c r="E77" s="82"/>
      <c r="F77" s="81"/>
      <c r="G77" s="80"/>
      <c r="H77" s="81"/>
      <c r="I77" s="81"/>
      <c r="J77" s="80">
        <v>3935.200694736842</v>
      </c>
      <c r="K77" s="80">
        <v>17820.600614035087</v>
      </c>
      <c r="L77" s="80">
        <v>683.1750000000001</v>
      </c>
      <c r="M77" s="79">
        <v>19227.690357894742</v>
      </c>
      <c r="N77" s="80">
        <v>1541.666666666667</v>
      </c>
      <c r="O77" s="80">
        <v>8750.0</v>
      </c>
      <c r="P77" s="79">
        <v>4568.7182748421055</v>
      </c>
      <c r="Q77" s="87">
        <v>878.0691622831578</v>
      </c>
      <c r="R77" s="79">
        <v>16807.954528944916</v>
      </c>
      <c r="S77" s="80">
        <v>5882.78408513072</v>
      </c>
      <c r="T77" s="79">
        <v>10925.170443814197</v>
      </c>
      <c r="U77" s="79">
        <v>11608.345443814196</v>
      </c>
      <c r="V77" s="7"/>
    </row>
    <row r="78">
      <c r="B78" s="7"/>
      <c r="C78" s="78">
        <v>8.0</v>
      </c>
      <c r="D78" s="79">
        <v>41666.66666666667</v>
      </c>
      <c r="E78" s="82"/>
      <c r="F78" s="81"/>
      <c r="G78" s="80"/>
      <c r="H78" s="81"/>
      <c r="I78" s="81"/>
      <c r="J78" s="80">
        <v>3935.200694736842</v>
      </c>
      <c r="K78" s="80">
        <v>17820.600614035087</v>
      </c>
      <c r="L78" s="80">
        <v>683.1750000000001</v>
      </c>
      <c r="M78" s="79">
        <v>19227.690357894742</v>
      </c>
      <c r="N78" s="80">
        <v>1541.666666666667</v>
      </c>
      <c r="O78" s="80">
        <v>8750.0</v>
      </c>
      <c r="P78" s="79">
        <v>4568.7182748421055</v>
      </c>
      <c r="Q78" s="87">
        <v>878.0691622831578</v>
      </c>
      <c r="R78" s="79">
        <v>16807.954528944916</v>
      </c>
      <c r="S78" s="80">
        <v>5882.78408513072</v>
      </c>
      <c r="T78" s="79">
        <v>10925.170443814197</v>
      </c>
      <c r="U78" s="79">
        <v>11608.345443814196</v>
      </c>
      <c r="V78" s="7"/>
    </row>
    <row r="79">
      <c r="B79" s="7"/>
      <c r="C79" s="78">
        <v>9.0</v>
      </c>
      <c r="D79" s="79">
        <v>41666.66666666667</v>
      </c>
      <c r="E79" s="82"/>
      <c r="F79" s="81"/>
      <c r="G79" s="80"/>
      <c r="H79" s="81"/>
      <c r="I79" s="81"/>
      <c r="J79" s="80">
        <v>3935.200694736842</v>
      </c>
      <c r="K79" s="80">
        <v>17820.600614035087</v>
      </c>
      <c r="L79" s="80">
        <v>683.1750000000001</v>
      </c>
      <c r="M79" s="79">
        <v>19227.690357894742</v>
      </c>
      <c r="N79" s="80">
        <v>1541.666666666667</v>
      </c>
      <c r="O79" s="80">
        <v>8750.0</v>
      </c>
      <c r="P79" s="79">
        <v>4568.7182748421055</v>
      </c>
      <c r="Q79" s="87">
        <v>878.0691622831578</v>
      </c>
      <c r="R79" s="79">
        <v>16807.954528944916</v>
      </c>
      <c r="S79" s="80">
        <v>5882.78408513072</v>
      </c>
      <c r="T79" s="79">
        <v>10925.170443814197</v>
      </c>
      <c r="U79" s="79">
        <v>11608.345443814196</v>
      </c>
      <c r="V79" s="7"/>
    </row>
    <row r="80">
      <c r="B80" s="7"/>
      <c r="C80" s="78">
        <v>10.0</v>
      </c>
      <c r="D80" s="79">
        <v>41666.66666666667</v>
      </c>
      <c r="E80" s="82"/>
      <c r="F80" s="81"/>
      <c r="G80" s="80"/>
      <c r="H80" s="81"/>
      <c r="I80" s="81"/>
      <c r="J80" s="80">
        <v>3935.200694736842</v>
      </c>
      <c r="K80" s="80">
        <v>17820.600614035087</v>
      </c>
      <c r="L80" s="80">
        <v>683.1750000000001</v>
      </c>
      <c r="M80" s="79">
        <v>19227.690357894742</v>
      </c>
      <c r="N80" s="80">
        <v>1541.666666666667</v>
      </c>
      <c r="O80" s="80">
        <v>8750.0</v>
      </c>
      <c r="P80" s="79">
        <v>4568.7182748421055</v>
      </c>
      <c r="Q80" s="87">
        <v>878.0691622831578</v>
      </c>
      <c r="R80" s="79">
        <v>16807.954528944916</v>
      </c>
      <c r="S80" s="80">
        <v>5882.78408513072</v>
      </c>
      <c r="T80" s="79">
        <v>10925.170443814197</v>
      </c>
      <c r="U80" s="79">
        <v>11608.345443814196</v>
      </c>
      <c r="V80" s="7"/>
    </row>
    <row r="81">
      <c r="B81" s="7"/>
      <c r="C81" s="78">
        <v>11.0</v>
      </c>
      <c r="D81" s="79">
        <v>41666.66666666667</v>
      </c>
      <c r="E81" s="82"/>
      <c r="F81" s="81"/>
      <c r="G81" s="80"/>
      <c r="H81" s="81"/>
      <c r="I81" s="81"/>
      <c r="J81" s="80">
        <v>3935.200694736842</v>
      </c>
      <c r="K81" s="80">
        <v>17820.600614035087</v>
      </c>
      <c r="L81" s="80">
        <v>683.1750000000001</v>
      </c>
      <c r="M81" s="79">
        <v>19227.690357894742</v>
      </c>
      <c r="N81" s="80">
        <v>1541.666666666667</v>
      </c>
      <c r="O81" s="80">
        <v>8750.0</v>
      </c>
      <c r="P81" s="79">
        <v>4568.7182748421055</v>
      </c>
      <c r="Q81" s="87">
        <v>878.0691622831578</v>
      </c>
      <c r="R81" s="79">
        <v>16807.954528944916</v>
      </c>
      <c r="S81" s="80">
        <v>5882.78408513072</v>
      </c>
      <c r="T81" s="79">
        <v>10925.170443814197</v>
      </c>
      <c r="U81" s="79">
        <v>11608.345443814196</v>
      </c>
      <c r="V81" s="7"/>
    </row>
    <row r="82">
      <c r="B82" s="10"/>
      <c r="C82" s="78">
        <v>12.0</v>
      </c>
      <c r="D82" s="79">
        <v>41666.66666666667</v>
      </c>
      <c r="E82" s="82"/>
      <c r="F82" s="81"/>
      <c r="G82" s="80"/>
      <c r="H82" s="81"/>
      <c r="I82" s="81"/>
      <c r="J82" s="80">
        <v>3935.200694736842</v>
      </c>
      <c r="K82" s="80">
        <v>17820.600614035087</v>
      </c>
      <c r="L82" s="80">
        <v>683.1750000000001</v>
      </c>
      <c r="M82" s="79">
        <v>19227.690357894742</v>
      </c>
      <c r="N82" s="80">
        <v>1541.666666666667</v>
      </c>
      <c r="O82" s="80">
        <v>8750.0</v>
      </c>
      <c r="P82" s="79">
        <v>4568.7182748421055</v>
      </c>
      <c r="Q82" s="87">
        <v>878.0691622831578</v>
      </c>
      <c r="R82" s="79">
        <v>16807.954528944916</v>
      </c>
      <c r="S82" s="80">
        <v>5882.78408513072</v>
      </c>
      <c r="T82" s="79">
        <v>10925.170443814197</v>
      </c>
      <c r="U82" s="79">
        <v>11608.345443814196</v>
      </c>
      <c r="V82" s="10"/>
    </row>
    <row r="83">
      <c r="B83" s="91"/>
      <c r="C83" s="91"/>
      <c r="D83" s="92"/>
      <c r="E83" s="92"/>
      <c r="F83" s="93"/>
      <c r="G83" s="93"/>
      <c r="H83" s="94"/>
      <c r="I83" s="93"/>
      <c r="J83" s="93"/>
      <c r="K83" s="93"/>
      <c r="L83" s="93"/>
      <c r="M83" s="92"/>
      <c r="N83" s="93"/>
      <c r="O83" s="93"/>
      <c r="P83" s="92"/>
      <c r="Q83" s="95"/>
      <c r="R83" s="92"/>
      <c r="S83" s="93"/>
      <c r="T83" s="92"/>
      <c r="U83" s="92"/>
      <c r="V83" s="92"/>
    </row>
    <row r="84">
      <c r="B84" s="57" t="s">
        <v>160</v>
      </c>
      <c r="C84" s="58"/>
      <c r="D84" s="59" t="s">
        <v>161</v>
      </c>
      <c r="E84" s="60"/>
      <c r="F84" s="61" t="s">
        <v>162</v>
      </c>
      <c r="G84" s="58"/>
      <c r="H84" s="60"/>
      <c r="I84" s="60"/>
      <c r="J84" s="62" t="s">
        <v>163</v>
      </c>
      <c r="K84" s="58"/>
      <c r="L84" s="63" t="s">
        <v>185</v>
      </c>
      <c r="M84" s="60"/>
      <c r="N84" s="61" t="s">
        <v>165</v>
      </c>
      <c r="O84" s="64"/>
      <c r="P84" s="64"/>
      <c r="Q84" s="58"/>
      <c r="R84" s="65" t="s">
        <v>166</v>
      </c>
      <c r="S84" s="66" t="s">
        <v>186</v>
      </c>
      <c r="T84" s="67" t="s">
        <v>187</v>
      </c>
      <c r="U84" s="67" t="s">
        <v>169</v>
      </c>
      <c r="V84" s="67" t="s">
        <v>170</v>
      </c>
    </row>
    <row r="85">
      <c r="B85" s="70" t="s">
        <v>128</v>
      </c>
      <c r="C85" s="70" t="s">
        <v>171</v>
      </c>
      <c r="D85" s="10"/>
      <c r="E85" s="71" t="s">
        <v>173</v>
      </c>
      <c r="F85" s="72" t="s">
        <v>188</v>
      </c>
      <c r="G85" s="73" t="s">
        <v>175</v>
      </c>
      <c r="H85" s="71" t="s">
        <v>176</v>
      </c>
      <c r="I85" s="71" t="s">
        <v>177</v>
      </c>
      <c r="J85" s="74" t="s">
        <v>178</v>
      </c>
      <c r="K85" s="74" t="s">
        <v>179</v>
      </c>
      <c r="L85" s="10"/>
      <c r="M85" s="71" t="s">
        <v>180</v>
      </c>
      <c r="N85" s="72" t="s">
        <v>181</v>
      </c>
      <c r="O85" s="72" t="s">
        <v>182</v>
      </c>
      <c r="P85" s="72" t="s">
        <v>183</v>
      </c>
      <c r="Q85" s="72" t="s">
        <v>184</v>
      </c>
      <c r="R85" s="10"/>
      <c r="S85" s="10"/>
      <c r="T85" s="10"/>
      <c r="U85" s="10"/>
      <c r="V85" s="10"/>
    </row>
    <row r="86">
      <c r="B86" s="85">
        <v>7.0</v>
      </c>
      <c r="C86" s="78">
        <v>1.0</v>
      </c>
      <c r="D86" s="79">
        <v>41666.66666666667</v>
      </c>
      <c r="E86" s="82"/>
      <c r="F86" s="81"/>
      <c r="G86" s="80"/>
      <c r="H86" s="81"/>
      <c r="I86" s="81"/>
      <c r="J86" s="80">
        <v>3935.200694736842</v>
      </c>
      <c r="K86" s="80">
        <v>17820.600614035087</v>
      </c>
      <c r="L86" s="80">
        <v>683.1750000000001</v>
      </c>
      <c r="M86" s="79">
        <v>19227.690357894742</v>
      </c>
      <c r="N86" s="80">
        <v>1541.666666666667</v>
      </c>
      <c r="O86" s="80">
        <v>8750.0</v>
      </c>
      <c r="P86" s="79">
        <v>4568.7182748421055</v>
      </c>
      <c r="Q86" s="87">
        <v>878.0691622831578</v>
      </c>
      <c r="R86" s="79">
        <v>16807.954528944916</v>
      </c>
      <c r="S86" s="80">
        <v>5882.78408513072</v>
      </c>
      <c r="T86" s="79">
        <v>10925.170443814197</v>
      </c>
      <c r="U86" s="79">
        <v>11608.345443814196</v>
      </c>
      <c r="V86" s="86">
        <v>139300.14532577034</v>
      </c>
    </row>
    <row r="87">
      <c r="B87" s="7"/>
      <c r="C87" s="78">
        <v>2.0</v>
      </c>
      <c r="D87" s="79">
        <v>41666.66666666667</v>
      </c>
      <c r="E87" s="82"/>
      <c r="F87" s="81"/>
      <c r="G87" s="80"/>
      <c r="H87" s="81"/>
      <c r="I87" s="81"/>
      <c r="J87" s="80">
        <v>3935.200694736842</v>
      </c>
      <c r="K87" s="80">
        <v>17820.600614035087</v>
      </c>
      <c r="L87" s="80">
        <v>683.1750000000001</v>
      </c>
      <c r="M87" s="79">
        <v>19227.690357894742</v>
      </c>
      <c r="N87" s="80">
        <v>1541.666666666667</v>
      </c>
      <c r="O87" s="80">
        <v>8750.0</v>
      </c>
      <c r="P87" s="79">
        <v>4568.7182748421055</v>
      </c>
      <c r="Q87" s="87">
        <v>878.0691622831578</v>
      </c>
      <c r="R87" s="79">
        <v>16807.954528944916</v>
      </c>
      <c r="S87" s="80">
        <v>5882.78408513072</v>
      </c>
      <c r="T87" s="79">
        <v>10925.170443814197</v>
      </c>
      <c r="U87" s="79">
        <v>11608.345443814196</v>
      </c>
      <c r="V87" s="7"/>
    </row>
    <row r="88">
      <c r="B88" s="7"/>
      <c r="C88" s="78">
        <v>3.0</v>
      </c>
      <c r="D88" s="79">
        <v>41666.66666666667</v>
      </c>
      <c r="E88" s="82"/>
      <c r="F88" s="81"/>
      <c r="G88" s="80"/>
      <c r="H88" s="81"/>
      <c r="I88" s="81"/>
      <c r="J88" s="80">
        <v>3935.200694736842</v>
      </c>
      <c r="K88" s="80">
        <v>17820.600614035087</v>
      </c>
      <c r="L88" s="80">
        <v>683.1750000000001</v>
      </c>
      <c r="M88" s="79">
        <v>19227.690357894742</v>
      </c>
      <c r="N88" s="80">
        <v>1541.666666666667</v>
      </c>
      <c r="O88" s="80">
        <v>8750.0</v>
      </c>
      <c r="P88" s="79">
        <v>4568.7182748421055</v>
      </c>
      <c r="Q88" s="87">
        <v>878.0691622831578</v>
      </c>
      <c r="R88" s="79">
        <v>16807.954528944916</v>
      </c>
      <c r="S88" s="80">
        <v>5882.78408513072</v>
      </c>
      <c r="T88" s="79">
        <v>10925.170443814197</v>
      </c>
      <c r="U88" s="79">
        <v>11608.345443814196</v>
      </c>
      <c r="V88" s="7"/>
    </row>
    <row r="89">
      <c r="B89" s="7"/>
      <c r="C89" s="78">
        <v>4.0</v>
      </c>
      <c r="D89" s="79">
        <v>41666.66666666667</v>
      </c>
      <c r="E89" s="82"/>
      <c r="F89" s="81"/>
      <c r="G89" s="80"/>
      <c r="H89" s="81"/>
      <c r="I89" s="81"/>
      <c r="J89" s="80">
        <v>3935.200694736842</v>
      </c>
      <c r="K89" s="80">
        <v>17820.600614035087</v>
      </c>
      <c r="L89" s="80">
        <v>683.1750000000001</v>
      </c>
      <c r="M89" s="79">
        <v>19227.690357894742</v>
      </c>
      <c r="N89" s="80">
        <v>1541.666666666667</v>
      </c>
      <c r="O89" s="80">
        <v>8750.0</v>
      </c>
      <c r="P89" s="79">
        <v>4568.7182748421055</v>
      </c>
      <c r="Q89" s="87">
        <v>878.0691622831578</v>
      </c>
      <c r="R89" s="79">
        <v>16807.954528944916</v>
      </c>
      <c r="S89" s="80">
        <v>5882.78408513072</v>
      </c>
      <c r="T89" s="79">
        <v>10925.170443814197</v>
      </c>
      <c r="U89" s="79">
        <v>11608.345443814196</v>
      </c>
      <c r="V89" s="7"/>
    </row>
    <row r="90">
      <c r="B90" s="7"/>
      <c r="C90" s="78">
        <v>5.0</v>
      </c>
      <c r="D90" s="79">
        <v>41666.66666666667</v>
      </c>
      <c r="E90" s="82"/>
      <c r="F90" s="81"/>
      <c r="G90" s="80"/>
      <c r="H90" s="81"/>
      <c r="I90" s="81"/>
      <c r="J90" s="80">
        <v>3935.200694736842</v>
      </c>
      <c r="K90" s="80">
        <v>17820.600614035087</v>
      </c>
      <c r="L90" s="80">
        <v>683.1750000000001</v>
      </c>
      <c r="M90" s="79">
        <v>19227.690357894742</v>
      </c>
      <c r="N90" s="80">
        <v>1541.666666666667</v>
      </c>
      <c r="O90" s="80">
        <v>8750.0</v>
      </c>
      <c r="P90" s="79">
        <v>4568.7182748421055</v>
      </c>
      <c r="Q90" s="87">
        <v>878.0691622831578</v>
      </c>
      <c r="R90" s="79">
        <v>16807.954528944916</v>
      </c>
      <c r="S90" s="80">
        <v>5882.78408513072</v>
      </c>
      <c r="T90" s="79">
        <v>10925.170443814197</v>
      </c>
      <c r="U90" s="79">
        <v>11608.345443814196</v>
      </c>
      <c r="V90" s="7"/>
    </row>
    <row r="91">
      <c r="B91" s="7"/>
      <c r="C91" s="78">
        <v>6.0</v>
      </c>
      <c r="D91" s="79">
        <v>41666.66666666667</v>
      </c>
      <c r="E91" s="82"/>
      <c r="F91" s="81"/>
      <c r="G91" s="80"/>
      <c r="H91" s="81"/>
      <c r="I91" s="81"/>
      <c r="J91" s="80">
        <v>3935.200694736842</v>
      </c>
      <c r="K91" s="80">
        <v>17820.600614035087</v>
      </c>
      <c r="L91" s="80">
        <v>683.1750000000001</v>
      </c>
      <c r="M91" s="79">
        <v>19227.690357894742</v>
      </c>
      <c r="N91" s="80">
        <v>1541.666666666667</v>
      </c>
      <c r="O91" s="80">
        <v>8750.0</v>
      </c>
      <c r="P91" s="79">
        <v>4568.7182748421055</v>
      </c>
      <c r="Q91" s="87">
        <v>878.0691622831578</v>
      </c>
      <c r="R91" s="79">
        <v>16807.954528944916</v>
      </c>
      <c r="S91" s="80">
        <v>5882.78408513072</v>
      </c>
      <c r="T91" s="79">
        <v>10925.170443814197</v>
      </c>
      <c r="U91" s="79">
        <v>11608.345443814196</v>
      </c>
      <c r="V91" s="7"/>
    </row>
    <row r="92">
      <c r="B92" s="7"/>
      <c r="C92" s="78">
        <v>7.0</v>
      </c>
      <c r="D92" s="79">
        <v>41666.66666666667</v>
      </c>
      <c r="E92" s="82"/>
      <c r="F92" s="81"/>
      <c r="G92" s="80"/>
      <c r="H92" s="81"/>
      <c r="I92" s="81"/>
      <c r="J92" s="80">
        <v>3935.200694736842</v>
      </c>
      <c r="K92" s="80">
        <v>17820.600614035087</v>
      </c>
      <c r="L92" s="80">
        <v>683.1750000000001</v>
      </c>
      <c r="M92" s="79">
        <v>19227.690357894742</v>
      </c>
      <c r="N92" s="80">
        <v>1541.666666666667</v>
      </c>
      <c r="O92" s="80">
        <v>8750.0</v>
      </c>
      <c r="P92" s="79">
        <v>4568.7182748421055</v>
      </c>
      <c r="Q92" s="87">
        <v>878.0691622831578</v>
      </c>
      <c r="R92" s="79">
        <v>16807.954528944916</v>
      </c>
      <c r="S92" s="80">
        <v>5882.78408513072</v>
      </c>
      <c r="T92" s="79">
        <v>10925.170443814197</v>
      </c>
      <c r="U92" s="79">
        <v>11608.345443814196</v>
      </c>
      <c r="V92" s="7"/>
    </row>
    <row r="93">
      <c r="B93" s="7"/>
      <c r="C93" s="78">
        <v>8.0</v>
      </c>
      <c r="D93" s="79">
        <v>41666.66666666667</v>
      </c>
      <c r="E93" s="82"/>
      <c r="F93" s="81"/>
      <c r="G93" s="80"/>
      <c r="H93" s="81"/>
      <c r="I93" s="81"/>
      <c r="J93" s="80">
        <v>3935.200694736842</v>
      </c>
      <c r="K93" s="80">
        <v>17820.600614035087</v>
      </c>
      <c r="L93" s="80">
        <v>683.1750000000001</v>
      </c>
      <c r="M93" s="79">
        <v>19227.690357894742</v>
      </c>
      <c r="N93" s="80">
        <v>1541.666666666667</v>
      </c>
      <c r="O93" s="80">
        <v>8750.0</v>
      </c>
      <c r="P93" s="79">
        <v>4568.7182748421055</v>
      </c>
      <c r="Q93" s="87">
        <v>878.0691622831578</v>
      </c>
      <c r="R93" s="79">
        <v>16807.954528944916</v>
      </c>
      <c r="S93" s="80">
        <v>5882.78408513072</v>
      </c>
      <c r="T93" s="79">
        <v>10925.170443814197</v>
      </c>
      <c r="U93" s="79">
        <v>11608.345443814196</v>
      </c>
      <c r="V93" s="7"/>
    </row>
    <row r="94">
      <c r="B94" s="7"/>
      <c r="C94" s="78">
        <v>9.0</v>
      </c>
      <c r="D94" s="79">
        <v>41666.66666666667</v>
      </c>
      <c r="E94" s="82"/>
      <c r="F94" s="81"/>
      <c r="G94" s="80"/>
      <c r="H94" s="81"/>
      <c r="I94" s="81"/>
      <c r="J94" s="80">
        <v>3935.200694736842</v>
      </c>
      <c r="K94" s="80">
        <v>17820.600614035087</v>
      </c>
      <c r="L94" s="80">
        <v>683.1750000000001</v>
      </c>
      <c r="M94" s="79">
        <v>19227.690357894742</v>
      </c>
      <c r="N94" s="80">
        <v>1541.666666666667</v>
      </c>
      <c r="O94" s="80">
        <v>8750.0</v>
      </c>
      <c r="P94" s="79">
        <v>4568.7182748421055</v>
      </c>
      <c r="Q94" s="87">
        <v>878.0691622831578</v>
      </c>
      <c r="R94" s="79">
        <v>16807.954528944916</v>
      </c>
      <c r="S94" s="80">
        <v>5882.78408513072</v>
      </c>
      <c r="T94" s="79">
        <v>10925.170443814197</v>
      </c>
      <c r="U94" s="79">
        <v>11608.345443814196</v>
      </c>
      <c r="V94" s="7"/>
    </row>
    <row r="95">
      <c r="B95" s="7"/>
      <c r="C95" s="78">
        <v>10.0</v>
      </c>
      <c r="D95" s="79">
        <v>41666.66666666667</v>
      </c>
      <c r="E95" s="82"/>
      <c r="F95" s="81"/>
      <c r="G95" s="80"/>
      <c r="H95" s="81"/>
      <c r="I95" s="81"/>
      <c r="J95" s="80">
        <v>3935.200694736842</v>
      </c>
      <c r="K95" s="80">
        <v>17820.600614035087</v>
      </c>
      <c r="L95" s="80">
        <v>683.1750000000001</v>
      </c>
      <c r="M95" s="79">
        <v>19227.690357894742</v>
      </c>
      <c r="N95" s="80">
        <v>1541.666666666667</v>
      </c>
      <c r="O95" s="80">
        <v>8750.0</v>
      </c>
      <c r="P95" s="79">
        <v>4568.7182748421055</v>
      </c>
      <c r="Q95" s="87">
        <v>878.0691622831578</v>
      </c>
      <c r="R95" s="79">
        <v>16807.954528944916</v>
      </c>
      <c r="S95" s="80">
        <v>5882.78408513072</v>
      </c>
      <c r="T95" s="79">
        <v>10925.170443814197</v>
      </c>
      <c r="U95" s="79">
        <v>11608.345443814196</v>
      </c>
      <c r="V95" s="7"/>
    </row>
    <row r="96">
      <c r="B96" s="7"/>
      <c r="C96" s="78">
        <v>11.0</v>
      </c>
      <c r="D96" s="79">
        <v>41666.66666666667</v>
      </c>
      <c r="E96" s="82"/>
      <c r="F96" s="81"/>
      <c r="G96" s="80"/>
      <c r="H96" s="81"/>
      <c r="I96" s="81"/>
      <c r="J96" s="80">
        <v>3935.200694736842</v>
      </c>
      <c r="K96" s="80">
        <v>17820.600614035087</v>
      </c>
      <c r="L96" s="80">
        <v>683.1750000000001</v>
      </c>
      <c r="M96" s="79">
        <v>19227.690357894742</v>
      </c>
      <c r="N96" s="80">
        <v>1541.666666666667</v>
      </c>
      <c r="O96" s="80">
        <v>8750.0</v>
      </c>
      <c r="P96" s="79">
        <v>4568.7182748421055</v>
      </c>
      <c r="Q96" s="87">
        <v>878.0691622831578</v>
      </c>
      <c r="R96" s="79">
        <v>16807.954528944916</v>
      </c>
      <c r="S96" s="80">
        <v>5882.78408513072</v>
      </c>
      <c r="T96" s="79">
        <v>10925.170443814197</v>
      </c>
      <c r="U96" s="79">
        <v>11608.345443814196</v>
      </c>
      <c r="V96" s="7"/>
    </row>
    <row r="97">
      <c r="B97" s="10"/>
      <c r="C97" s="78">
        <v>12.0</v>
      </c>
      <c r="D97" s="79">
        <v>41666.66666666667</v>
      </c>
      <c r="E97" s="82"/>
      <c r="F97" s="81"/>
      <c r="G97" s="80"/>
      <c r="H97" s="81"/>
      <c r="I97" s="81"/>
      <c r="J97" s="80">
        <v>3935.200694736842</v>
      </c>
      <c r="K97" s="80">
        <v>17820.600614035087</v>
      </c>
      <c r="L97" s="80">
        <v>683.1750000000001</v>
      </c>
      <c r="M97" s="79">
        <v>19227.690357894742</v>
      </c>
      <c r="N97" s="80">
        <v>1541.666666666667</v>
      </c>
      <c r="O97" s="80">
        <v>8750.0</v>
      </c>
      <c r="P97" s="79">
        <v>4568.7182748421055</v>
      </c>
      <c r="Q97" s="87">
        <v>878.0691622831578</v>
      </c>
      <c r="R97" s="79">
        <v>16807.954528944916</v>
      </c>
      <c r="S97" s="80">
        <v>5882.78408513072</v>
      </c>
      <c r="T97" s="79">
        <v>10925.170443814197</v>
      </c>
      <c r="U97" s="79">
        <v>11608.345443814196</v>
      </c>
      <c r="V97" s="10"/>
    </row>
    <row r="98">
      <c r="B98" s="85">
        <v>8.0</v>
      </c>
      <c r="C98" s="78">
        <v>1.0</v>
      </c>
      <c r="D98" s="79">
        <v>41666.66666666667</v>
      </c>
      <c r="E98" s="82"/>
      <c r="F98" s="81"/>
      <c r="G98" s="80"/>
      <c r="H98" s="81"/>
      <c r="I98" s="81"/>
      <c r="J98" s="80">
        <v>3935.200694736842</v>
      </c>
      <c r="K98" s="80">
        <v>17820.600614035087</v>
      </c>
      <c r="L98" s="80">
        <v>683.1750000000001</v>
      </c>
      <c r="M98" s="79">
        <v>19227.690357894742</v>
      </c>
      <c r="N98" s="80">
        <v>1541.666666666667</v>
      </c>
      <c r="O98" s="80">
        <v>8750.0</v>
      </c>
      <c r="P98" s="79">
        <v>4568.7182748421055</v>
      </c>
      <c r="Q98" s="87">
        <v>878.0691622831578</v>
      </c>
      <c r="R98" s="79">
        <v>16807.954528944916</v>
      </c>
      <c r="S98" s="80">
        <v>5882.78408513072</v>
      </c>
      <c r="T98" s="79">
        <v>10925.170443814197</v>
      </c>
      <c r="U98" s="79">
        <v>11608.345443814196</v>
      </c>
      <c r="V98" s="86">
        <v>139300.14532577034</v>
      </c>
    </row>
    <row r="99">
      <c r="B99" s="7"/>
      <c r="C99" s="78">
        <v>2.0</v>
      </c>
      <c r="D99" s="79">
        <v>41666.66666666667</v>
      </c>
      <c r="E99" s="82"/>
      <c r="F99" s="81"/>
      <c r="G99" s="80"/>
      <c r="H99" s="81"/>
      <c r="I99" s="81"/>
      <c r="J99" s="80">
        <v>3935.200694736842</v>
      </c>
      <c r="K99" s="80">
        <v>17820.600614035087</v>
      </c>
      <c r="L99" s="80">
        <v>683.1750000000001</v>
      </c>
      <c r="M99" s="79">
        <v>19227.690357894742</v>
      </c>
      <c r="N99" s="80">
        <v>1541.666666666667</v>
      </c>
      <c r="O99" s="80">
        <v>8750.0</v>
      </c>
      <c r="P99" s="79">
        <v>4568.7182748421055</v>
      </c>
      <c r="Q99" s="87">
        <v>878.0691622831578</v>
      </c>
      <c r="R99" s="79">
        <v>16807.954528944916</v>
      </c>
      <c r="S99" s="80">
        <v>5882.78408513072</v>
      </c>
      <c r="T99" s="79">
        <v>10925.170443814197</v>
      </c>
      <c r="U99" s="79">
        <v>11608.345443814196</v>
      </c>
      <c r="V99" s="7"/>
    </row>
    <row r="100">
      <c r="B100" s="7"/>
      <c r="C100" s="78">
        <v>3.0</v>
      </c>
      <c r="D100" s="79">
        <v>41666.66666666667</v>
      </c>
      <c r="E100" s="82"/>
      <c r="F100" s="81"/>
      <c r="G100" s="80"/>
      <c r="H100" s="81"/>
      <c r="I100" s="81"/>
      <c r="J100" s="80">
        <v>3935.200694736842</v>
      </c>
      <c r="K100" s="80">
        <v>17820.600614035087</v>
      </c>
      <c r="L100" s="80">
        <v>683.1750000000001</v>
      </c>
      <c r="M100" s="79">
        <v>19227.690357894742</v>
      </c>
      <c r="N100" s="80">
        <v>1541.666666666667</v>
      </c>
      <c r="O100" s="80">
        <v>8750.0</v>
      </c>
      <c r="P100" s="79">
        <v>4568.7182748421055</v>
      </c>
      <c r="Q100" s="87">
        <v>878.0691622831578</v>
      </c>
      <c r="R100" s="79">
        <v>16807.954528944916</v>
      </c>
      <c r="S100" s="80">
        <v>5882.78408513072</v>
      </c>
      <c r="T100" s="79">
        <v>10925.170443814197</v>
      </c>
      <c r="U100" s="79">
        <v>11608.345443814196</v>
      </c>
      <c r="V100" s="7"/>
    </row>
    <row r="101">
      <c r="B101" s="7"/>
      <c r="C101" s="78">
        <v>4.0</v>
      </c>
      <c r="D101" s="79">
        <v>41666.66666666667</v>
      </c>
      <c r="E101" s="82"/>
      <c r="F101" s="81"/>
      <c r="G101" s="80"/>
      <c r="H101" s="81"/>
      <c r="I101" s="81"/>
      <c r="J101" s="80">
        <v>3935.200694736842</v>
      </c>
      <c r="K101" s="80">
        <v>17820.600614035087</v>
      </c>
      <c r="L101" s="80">
        <v>683.1750000000001</v>
      </c>
      <c r="M101" s="79">
        <v>19227.690357894742</v>
      </c>
      <c r="N101" s="80">
        <v>1541.666666666667</v>
      </c>
      <c r="O101" s="80">
        <v>8750.0</v>
      </c>
      <c r="P101" s="79">
        <v>4568.7182748421055</v>
      </c>
      <c r="Q101" s="87">
        <v>878.0691622831578</v>
      </c>
      <c r="R101" s="79">
        <v>16807.954528944916</v>
      </c>
      <c r="S101" s="80">
        <v>5882.78408513072</v>
      </c>
      <c r="T101" s="79">
        <v>10925.170443814197</v>
      </c>
      <c r="U101" s="79">
        <v>11608.345443814196</v>
      </c>
      <c r="V101" s="7"/>
    </row>
    <row r="102">
      <c r="B102" s="7"/>
      <c r="C102" s="78">
        <v>5.0</v>
      </c>
      <c r="D102" s="79">
        <v>41666.66666666667</v>
      </c>
      <c r="E102" s="82"/>
      <c r="F102" s="81"/>
      <c r="G102" s="80"/>
      <c r="H102" s="81"/>
      <c r="I102" s="81"/>
      <c r="J102" s="80">
        <v>3935.200694736842</v>
      </c>
      <c r="K102" s="80">
        <v>17820.600614035087</v>
      </c>
      <c r="L102" s="80">
        <v>683.1750000000001</v>
      </c>
      <c r="M102" s="79">
        <v>19227.690357894742</v>
      </c>
      <c r="N102" s="80">
        <v>1541.666666666667</v>
      </c>
      <c r="O102" s="80">
        <v>8750.0</v>
      </c>
      <c r="P102" s="79">
        <v>4568.7182748421055</v>
      </c>
      <c r="Q102" s="87">
        <v>878.0691622831578</v>
      </c>
      <c r="R102" s="79">
        <v>16807.954528944916</v>
      </c>
      <c r="S102" s="80">
        <v>5882.78408513072</v>
      </c>
      <c r="T102" s="79">
        <v>10925.170443814197</v>
      </c>
      <c r="U102" s="79">
        <v>11608.345443814196</v>
      </c>
      <c r="V102" s="7"/>
    </row>
    <row r="103">
      <c r="B103" s="7"/>
      <c r="C103" s="78">
        <v>6.0</v>
      </c>
      <c r="D103" s="79">
        <v>41666.66666666667</v>
      </c>
      <c r="E103" s="82"/>
      <c r="F103" s="81"/>
      <c r="G103" s="80"/>
      <c r="H103" s="81"/>
      <c r="I103" s="81"/>
      <c r="J103" s="80">
        <v>3935.200694736842</v>
      </c>
      <c r="K103" s="80">
        <v>17820.600614035087</v>
      </c>
      <c r="L103" s="80">
        <v>683.1750000000001</v>
      </c>
      <c r="M103" s="79">
        <v>19227.690357894742</v>
      </c>
      <c r="N103" s="80">
        <v>1541.666666666667</v>
      </c>
      <c r="O103" s="80">
        <v>8750.0</v>
      </c>
      <c r="P103" s="79">
        <v>4568.7182748421055</v>
      </c>
      <c r="Q103" s="87">
        <v>878.0691622831578</v>
      </c>
      <c r="R103" s="79">
        <v>16807.954528944916</v>
      </c>
      <c r="S103" s="80">
        <v>5882.78408513072</v>
      </c>
      <c r="T103" s="79">
        <v>10925.170443814197</v>
      </c>
      <c r="U103" s="79">
        <v>11608.345443814196</v>
      </c>
      <c r="V103" s="7"/>
    </row>
    <row r="104">
      <c r="B104" s="7"/>
      <c r="C104" s="78">
        <v>7.0</v>
      </c>
      <c r="D104" s="79">
        <v>41666.66666666667</v>
      </c>
      <c r="E104" s="82"/>
      <c r="F104" s="81"/>
      <c r="G104" s="80"/>
      <c r="H104" s="81"/>
      <c r="I104" s="81"/>
      <c r="J104" s="80">
        <v>3935.200694736842</v>
      </c>
      <c r="K104" s="80">
        <v>17820.600614035087</v>
      </c>
      <c r="L104" s="80">
        <v>683.1750000000001</v>
      </c>
      <c r="M104" s="79">
        <v>19227.690357894742</v>
      </c>
      <c r="N104" s="80">
        <v>1541.666666666667</v>
      </c>
      <c r="O104" s="80">
        <v>8750.0</v>
      </c>
      <c r="P104" s="79">
        <v>4568.7182748421055</v>
      </c>
      <c r="Q104" s="87">
        <v>878.0691622831578</v>
      </c>
      <c r="R104" s="79">
        <v>16807.954528944916</v>
      </c>
      <c r="S104" s="80">
        <v>5882.78408513072</v>
      </c>
      <c r="T104" s="79">
        <v>10925.170443814197</v>
      </c>
      <c r="U104" s="79">
        <v>11608.345443814196</v>
      </c>
      <c r="V104" s="7"/>
    </row>
    <row r="105">
      <c r="B105" s="7"/>
      <c r="C105" s="78">
        <v>8.0</v>
      </c>
      <c r="D105" s="79">
        <v>41666.66666666667</v>
      </c>
      <c r="E105" s="82"/>
      <c r="F105" s="81"/>
      <c r="G105" s="80"/>
      <c r="H105" s="81"/>
      <c r="I105" s="81"/>
      <c r="J105" s="80">
        <v>3935.200694736842</v>
      </c>
      <c r="K105" s="80">
        <v>17820.600614035087</v>
      </c>
      <c r="L105" s="80">
        <v>683.1750000000001</v>
      </c>
      <c r="M105" s="79">
        <v>19227.690357894742</v>
      </c>
      <c r="N105" s="80">
        <v>1541.666666666667</v>
      </c>
      <c r="O105" s="80">
        <v>8750.0</v>
      </c>
      <c r="P105" s="79">
        <v>4568.7182748421055</v>
      </c>
      <c r="Q105" s="87">
        <v>878.0691622831578</v>
      </c>
      <c r="R105" s="79">
        <v>16807.954528944916</v>
      </c>
      <c r="S105" s="80">
        <v>5882.78408513072</v>
      </c>
      <c r="T105" s="79">
        <v>10925.170443814197</v>
      </c>
      <c r="U105" s="79">
        <v>11608.345443814196</v>
      </c>
      <c r="V105" s="7"/>
    </row>
    <row r="106">
      <c r="B106" s="7"/>
      <c r="C106" s="78">
        <v>9.0</v>
      </c>
      <c r="D106" s="79">
        <v>41666.66666666667</v>
      </c>
      <c r="E106" s="82"/>
      <c r="F106" s="81"/>
      <c r="G106" s="80"/>
      <c r="H106" s="81"/>
      <c r="I106" s="81"/>
      <c r="J106" s="80">
        <v>3935.200694736842</v>
      </c>
      <c r="K106" s="80">
        <v>17820.600614035087</v>
      </c>
      <c r="L106" s="80">
        <v>683.1750000000001</v>
      </c>
      <c r="M106" s="79">
        <v>19227.690357894742</v>
      </c>
      <c r="N106" s="80">
        <v>1541.666666666667</v>
      </c>
      <c r="O106" s="80">
        <v>8750.0</v>
      </c>
      <c r="P106" s="79">
        <v>4568.7182748421055</v>
      </c>
      <c r="Q106" s="87">
        <v>878.0691622831578</v>
      </c>
      <c r="R106" s="79">
        <v>16807.954528944916</v>
      </c>
      <c r="S106" s="80">
        <v>5882.78408513072</v>
      </c>
      <c r="T106" s="79">
        <v>10925.170443814197</v>
      </c>
      <c r="U106" s="79">
        <v>11608.345443814196</v>
      </c>
      <c r="V106" s="7"/>
    </row>
    <row r="107">
      <c r="B107" s="7"/>
      <c r="C107" s="78">
        <v>10.0</v>
      </c>
      <c r="D107" s="79">
        <v>41666.66666666667</v>
      </c>
      <c r="E107" s="82"/>
      <c r="F107" s="81"/>
      <c r="G107" s="80"/>
      <c r="H107" s="81"/>
      <c r="I107" s="81"/>
      <c r="J107" s="80">
        <v>3935.200694736842</v>
      </c>
      <c r="K107" s="80">
        <v>17820.600614035087</v>
      </c>
      <c r="L107" s="80">
        <v>683.1750000000001</v>
      </c>
      <c r="M107" s="79">
        <v>19227.690357894742</v>
      </c>
      <c r="N107" s="80">
        <v>1541.666666666667</v>
      </c>
      <c r="O107" s="80">
        <v>8750.0</v>
      </c>
      <c r="P107" s="79">
        <v>4568.7182748421055</v>
      </c>
      <c r="Q107" s="87">
        <v>878.0691622831578</v>
      </c>
      <c r="R107" s="79">
        <v>16807.954528944916</v>
      </c>
      <c r="S107" s="80">
        <v>5882.78408513072</v>
      </c>
      <c r="T107" s="79">
        <v>10925.170443814197</v>
      </c>
      <c r="U107" s="79">
        <v>11608.345443814196</v>
      </c>
      <c r="V107" s="7"/>
    </row>
    <row r="108">
      <c r="B108" s="7"/>
      <c r="C108" s="78">
        <v>11.0</v>
      </c>
      <c r="D108" s="79">
        <v>41666.66666666667</v>
      </c>
      <c r="E108" s="82"/>
      <c r="F108" s="81"/>
      <c r="G108" s="80"/>
      <c r="H108" s="81"/>
      <c r="I108" s="81"/>
      <c r="J108" s="80">
        <v>3935.200694736842</v>
      </c>
      <c r="K108" s="80">
        <v>17820.600614035087</v>
      </c>
      <c r="L108" s="80">
        <v>683.1750000000001</v>
      </c>
      <c r="M108" s="79">
        <v>19227.690357894742</v>
      </c>
      <c r="N108" s="80">
        <v>1541.666666666667</v>
      </c>
      <c r="O108" s="80">
        <v>8750.0</v>
      </c>
      <c r="P108" s="79">
        <v>4568.7182748421055</v>
      </c>
      <c r="Q108" s="87">
        <v>878.0691622831578</v>
      </c>
      <c r="R108" s="79">
        <v>16807.954528944916</v>
      </c>
      <c r="S108" s="80">
        <v>5882.78408513072</v>
      </c>
      <c r="T108" s="79">
        <v>10925.170443814197</v>
      </c>
      <c r="U108" s="79">
        <v>11608.345443814196</v>
      </c>
      <c r="V108" s="7"/>
    </row>
    <row r="109">
      <c r="B109" s="10"/>
      <c r="C109" s="78">
        <v>12.0</v>
      </c>
      <c r="D109" s="79">
        <v>41666.66666666667</v>
      </c>
      <c r="E109" s="82"/>
      <c r="F109" s="81"/>
      <c r="G109" s="80"/>
      <c r="H109" s="81"/>
      <c r="I109" s="81"/>
      <c r="J109" s="80">
        <v>3935.200694736842</v>
      </c>
      <c r="K109" s="80">
        <v>17820.600614035087</v>
      </c>
      <c r="L109" s="80">
        <v>683.1750000000001</v>
      </c>
      <c r="M109" s="79">
        <v>19227.690357894742</v>
      </c>
      <c r="N109" s="80">
        <v>1541.666666666667</v>
      </c>
      <c r="O109" s="80">
        <v>8750.0</v>
      </c>
      <c r="P109" s="79">
        <v>4568.7182748421055</v>
      </c>
      <c r="Q109" s="87">
        <v>878.0691622831578</v>
      </c>
      <c r="R109" s="79">
        <v>16807.954528944916</v>
      </c>
      <c r="S109" s="80">
        <v>5882.78408513072</v>
      </c>
      <c r="T109" s="79">
        <v>10925.170443814197</v>
      </c>
      <c r="U109" s="79">
        <v>11608.345443814196</v>
      </c>
      <c r="V109" s="10"/>
    </row>
    <row r="110">
      <c r="B110" s="91"/>
      <c r="C110" s="91"/>
      <c r="D110" s="92"/>
      <c r="E110" s="92"/>
      <c r="F110" s="93"/>
      <c r="G110" s="93"/>
      <c r="H110" s="94"/>
      <c r="I110" s="93"/>
      <c r="J110" s="93"/>
      <c r="K110" s="93"/>
      <c r="L110" s="93"/>
      <c r="M110" s="92"/>
      <c r="N110" s="93"/>
      <c r="O110" s="93"/>
      <c r="P110" s="92"/>
      <c r="Q110" s="95"/>
      <c r="R110" s="92"/>
      <c r="S110" s="93"/>
      <c r="T110" s="92"/>
      <c r="U110" s="92"/>
      <c r="V110" s="92"/>
    </row>
    <row r="111">
      <c r="B111" s="57" t="s">
        <v>160</v>
      </c>
      <c r="C111" s="58"/>
      <c r="D111" s="59" t="s">
        <v>161</v>
      </c>
      <c r="E111" s="60"/>
      <c r="F111" s="61" t="s">
        <v>162</v>
      </c>
      <c r="G111" s="58"/>
      <c r="H111" s="60"/>
      <c r="I111" s="60"/>
      <c r="J111" s="62" t="s">
        <v>163</v>
      </c>
      <c r="K111" s="58"/>
      <c r="L111" s="63" t="s">
        <v>185</v>
      </c>
      <c r="M111" s="60"/>
      <c r="N111" s="61" t="s">
        <v>165</v>
      </c>
      <c r="O111" s="64"/>
      <c r="P111" s="64"/>
      <c r="Q111" s="58"/>
      <c r="R111" s="65" t="s">
        <v>166</v>
      </c>
      <c r="S111" s="66" t="s">
        <v>186</v>
      </c>
      <c r="T111" s="67" t="s">
        <v>187</v>
      </c>
      <c r="U111" s="67" t="s">
        <v>169</v>
      </c>
      <c r="V111" s="67" t="s">
        <v>170</v>
      </c>
    </row>
    <row r="112">
      <c r="B112" s="70" t="s">
        <v>128</v>
      </c>
      <c r="C112" s="70" t="s">
        <v>171</v>
      </c>
      <c r="D112" s="10"/>
      <c r="E112" s="71" t="s">
        <v>173</v>
      </c>
      <c r="F112" s="72" t="s">
        <v>188</v>
      </c>
      <c r="G112" s="73" t="s">
        <v>175</v>
      </c>
      <c r="H112" s="71" t="s">
        <v>176</v>
      </c>
      <c r="I112" s="71" t="s">
        <v>177</v>
      </c>
      <c r="J112" s="74" t="s">
        <v>178</v>
      </c>
      <c r="K112" s="74" t="s">
        <v>179</v>
      </c>
      <c r="L112" s="10"/>
      <c r="M112" s="71" t="s">
        <v>180</v>
      </c>
      <c r="N112" s="72" t="s">
        <v>181</v>
      </c>
      <c r="O112" s="72" t="s">
        <v>182</v>
      </c>
      <c r="P112" s="72" t="s">
        <v>183</v>
      </c>
      <c r="Q112" s="72" t="s">
        <v>184</v>
      </c>
      <c r="R112" s="10"/>
      <c r="S112" s="10"/>
      <c r="T112" s="10"/>
      <c r="U112" s="10"/>
      <c r="V112" s="10"/>
    </row>
    <row r="113">
      <c r="B113" s="85">
        <v>9.0</v>
      </c>
      <c r="C113" s="78">
        <v>1.0</v>
      </c>
      <c r="D113" s="79">
        <v>41666.66666666667</v>
      </c>
      <c r="E113" s="82"/>
      <c r="F113" s="81"/>
      <c r="G113" s="80"/>
      <c r="H113" s="81"/>
      <c r="I113" s="81"/>
      <c r="J113" s="80">
        <v>3935.200694736842</v>
      </c>
      <c r="K113" s="80">
        <v>17820.600614035087</v>
      </c>
      <c r="L113" s="80">
        <v>683.1750000000001</v>
      </c>
      <c r="M113" s="79">
        <v>19227.690357894742</v>
      </c>
      <c r="N113" s="80">
        <v>1541.666666666667</v>
      </c>
      <c r="O113" s="80">
        <v>8750.0</v>
      </c>
      <c r="P113" s="79">
        <v>4568.7182748421055</v>
      </c>
      <c r="Q113" s="87">
        <v>878.0691622831578</v>
      </c>
      <c r="R113" s="79">
        <v>16807.954528944916</v>
      </c>
      <c r="S113" s="80">
        <v>5882.78408513072</v>
      </c>
      <c r="T113" s="79">
        <v>10925.170443814197</v>
      </c>
      <c r="U113" s="79">
        <v>11608.345443814196</v>
      </c>
      <c r="V113" s="86">
        <v>139300.14532577034</v>
      </c>
    </row>
    <row r="114">
      <c r="B114" s="7"/>
      <c r="C114" s="78">
        <v>2.0</v>
      </c>
      <c r="D114" s="79">
        <v>41666.66666666667</v>
      </c>
      <c r="E114" s="82"/>
      <c r="F114" s="81"/>
      <c r="G114" s="80"/>
      <c r="H114" s="81"/>
      <c r="I114" s="81"/>
      <c r="J114" s="80">
        <v>3935.200694736842</v>
      </c>
      <c r="K114" s="80">
        <v>17820.600614035087</v>
      </c>
      <c r="L114" s="80">
        <v>683.1750000000001</v>
      </c>
      <c r="M114" s="79">
        <v>19227.690357894742</v>
      </c>
      <c r="N114" s="80">
        <v>1541.666666666667</v>
      </c>
      <c r="O114" s="80">
        <v>8750.0</v>
      </c>
      <c r="P114" s="79">
        <v>4568.7182748421055</v>
      </c>
      <c r="Q114" s="87">
        <v>878.0691622831578</v>
      </c>
      <c r="R114" s="79">
        <v>16807.954528944916</v>
      </c>
      <c r="S114" s="80">
        <v>5882.78408513072</v>
      </c>
      <c r="T114" s="79">
        <v>10925.170443814197</v>
      </c>
      <c r="U114" s="79">
        <v>11608.345443814196</v>
      </c>
      <c r="V114" s="7"/>
    </row>
    <row r="115">
      <c r="B115" s="7"/>
      <c r="C115" s="78">
        <v>3.0</v>
      </c>
      <c r="D115" s="79">
        <v>41666.66666666667</v>
      </c>
      <c r="E115" s="82"/>
      <c r="F115" s="81"/>
      <c r="G115" s="80"/>
      <c r="H115" s="81"/>
      <c r="I115" s="81"/>
      <c r="J115" s="80">
        <v>3935.200694736842</v>
      </c>
      <c r="K115" s="80">
        <v>17820.600614035087</v>
      </c>
      <c r="L115" s="80">
        <v>683.1750000000001</v>
      </c>
      <c r="M115" s="79">
        <v>19227.690357894742</v>
      </c>
      <c r="N115" s="80">
        <v>1541.666666666667</v>
      </c>
      <c r="O115" s="80">
        <v>8750.0</v>
      </c>
      <c r="P115" s="79">
        <v>4568.7182748421055</v>
      </c>
      <c r="Q115" s="87">
        <v>878.0691622831578</v>
      </c>
      <c r="R115" s="79">
        <v>16807.954528944916</v>
      </c>
      <c r="S115" s="80">
        <v>5882.78408513072</v>
      </c>
      <c r="T115" s="79">
        <v>10925.170443814197</v>
      </c>
      <c r="U115" s="79">
        <v>11608.345443814196</v>
      </c>
      <c r="V115" s="7"/>
    </row>
    <row r="116">
      <c r="B116" s="7"/>
      <c r="C116" s="78">
        <v>4.0</v>
      </c>
      <c r="D116" s="79">
        <v>41666.66666666667</v>
      </c>
      <c r="E116" s="82"/>
      <c r="F116" s="81"/>
      <c r="G116" s="80"/>
      <c r="H116" s="81"/>
      <c r="I116" s="81"/>
      <c r="J116" s="80">
        <v>3935.200694736842</v>
      </c>
      <c r="K116" s="80">
        <v>17820.600614035087</v>
      </c>
      <c r="L116" s="80">
        <v>683.1750000000001</v>
      </c>
      <c r="M116" s="79">
        <v>19227.690357894742</v>
      </c>
      <c r="N116" s="80">
        <v>1541.666666666667</v>
      </c>
      <c r="O116" s="80">
        <v>8750.0</v>
      </c>
      <c r="P116" s="79">
        <v>4568.7182748421055</v>
      </c>
      <c r="Q116" s="87">
        <v>878.0691622831578</v>
      </c>
      <c r="R116" s="79">
        <v>16807.954528944916</v>
      </c>
      <c r="S116" s="80">
        <v>5882.78408513072</v>
      </c>
      <c r="T116" s="79">
        <v>10925.170443814197</v>
      </c>
      <c r="U116" s="79">
        <v>11608.345443814196</v>
      </c>
      <c r="V116" s="7"/>
    </row>
    <row r="117">
      <c r="B117" s="7"/>
      <c r="C117" s="78">
        <v>5.0</v>
      </c>
      <c r="D117" s="79">
        <v>41666.66666666667</v>
      </c>
      <c r="E117" s="82"/>
      <c r="F117" s="81"/>
      <c r="G117" s="80"/>
      <c r="H117" s="81"/>
      <c r="I117" s="81"/>
      <c r="J117" s="80">
        <v>3935.200694736842</v>
      </c>
      <c r="K117" s="80">
        <v>17820.600614035087</v>
      </c>
      <c r="L117" s="80">
        <v>683.1750000000001</v>
      </c>
      <c r="M117" s="79">
        <v>19227.690357894742</v>
      </c>
      <c r="N117" s="80">
        <v>1541.666666666667</v>
      </c>
      <c r="O117" s="80">
        <v>8750.0</v>
      </c>
      <c r="P117" s="79">
        <v>4568.7182748421055</v>
      </c>
      <c r="Q117" s="87">
        <v>878.0691622831578</v>
      </c>
      <c r="R117" s="79">
        <v>16807.954528944916</v>
      </c>
      <c r="S117" s="80">
        <v>5882.78408513072</v>
      </c>
      <c r="T117" s="79">
        <v>10925.170443814197</v>
      </c>
      <c r="U117" s="79">
        <v>11608.345443814196</v>
      </c>
      <c r="V117" s="7"/>
    </row>
    <row r="118">
      <c r="B118" s="7"/>
      <c r="C118" s="78">
        <v>6.0</v>
      </c>
      <c r="D118" s="79">
        <v>41666.66666666667</v>
      </c>
      <c r="E118" s="82"/>
      <c r="F118" s="81"/>
      <c r="G118" s="80"/>
      <c r="H118" s="81"/>
      <c r="I118" s="81"/>
      <c r="J118" s="80">
        <v>3935.200694736842</v>
      </c>
      <c r="K118" s="80">
        <v>17820.600614035087</v>
      </c>
      <c r="L118" s="80">
        <v>683.1750000000001</v>
      </c>
      <c r="M118" s="79">
        <v>19227.690357894742</v>
      </c>
      <c r="N118" s="80">
        <v>1541.666666666667</v>
      </c>
      <c r="O118" s="80">
        <v>8750.0</v>
      </c>
      <c r="P118" s="79">
        <v>4568.7182748421055</v>
      </c>
      <c r="Q118" s="87">
        <v>878.0691622831578</v>
      </c>
      <c r="R118" s="79">
        <v>16807.954528944916</v>
      </c>
      <c r="S118" s="80">
        <v>5882.78408513072</v>
      </c>
      <c r="T118" s="79">
        <v>10925.170443814197</v>
      </c>
      <c r="U118" s="79">
        <v>11608.345443814196</v>
      </c>
      <c r="V118" s="7"/>
    </row>
    <row r="119">
      <c r="B119" s="7"/>
      <c r="C119" s="78">
        <v>7.0</v>
      </c>
      <c r="D119" s="79">
        <v>41666.66666666667</v>
      </c>
      <c r="E119" s="82"/>
      <c r="F119" s="81"/>
      <c r="G119" s="80"/>
      <c r="H119" s="81"/>
      <c r="I119" s="81"/>
      <c r="J119" s="80">
        <v>3935.200694736842</v>
      </c>
      <c r="K119" s="80">
        <v>17820.600614035087</v>
      </c>
      <c r="L119" s="80">
        <v>683.1750000000001</v>
      </c>
      <c r="M119" s="79">
        <v>19227.690357894742</v>
      </c>
      <c r="N119" s="80">
        <v>1541.666666666667</v>
      </c>
      <c r="O119" s="80">
        <v>8750.0</v>
      </c>
      <c r="P119" s="79">
        <v>4568.7182748421055</v>
      </c>
      <c r="Q119" s="87">
        <v>878.0691622831578</v>
      </c>
      <c r="R119" s="79">
        <v>16807.954528944916</v>
      </c>
      <c r="S119" s="80">
        <v>5882.78408513072</v>
      </c>
      <c r="T119" s="79">
        <v>10925.170443814197</v>
      </c>
      <c r="U119" s="79">
        <v>11608.345443814196</v>
      </c>
      <c r="V119" s="7"/>
    </row>
    <row r="120">
      <c r="B120" s="7"/>
      <c r="C120" s="78">
        <v>8.0</v>
      </c>
      <c r="D120" s="79">
        <v>41666.66666666667</v>
      </c>
      <c r="E120" s="82"/>
      <c r="F120" s="81"/>
      <c r="G120" s="80"/>
      <c r="H120" s="81"/>
      <c r="I120" s="81"/>
      <c r="J120" s="80">
        <v>3935.200694736842</v>
      </c>
      <c r="K120" s="80">
        <v>17820.600614035087</v>
      </c>
      <c r="L120" s="80">
        <v>683.1750000000001</v>
      </c>
      <c r="M120" s="79">
        <v>19227.690357894742</v>
      </c>
      <c r="N120" s="80">
        <v>1541.666666666667</v>
      </c>
      <c r="O120" s="80">
        <v>8750.0</v>
      </c>
      <c r="P120" s="79">
        <v>4568.7182748421055</v>
      </c>
      <c r="Q120" s="87">
        <v>878.0691622831578</v>
      </c>
      <c r="R120" s="79">
        <v>16807.954528944916</v>
      </c>
      <c r="S120" s="80">
        <v>5882.78408513072</v>
      </c>
      <c r="T120" s="79">
        <v>10925.170443814197</v>
      </c>
      <c r="U120" s="79">
        <v>11608.345443814196</v>
      </c>
      <c r="V120" s="7"/>
    </row>
    <row r="121">
      <c r="B121" s="7"/>
      <c r="C121" s="78">
        <v>9.0</v>
      </c>
      <c r="D121" s="79">
        <v>41666.66666666667</v>
      </c>
      <c r="E121" s="82"/>
      <c r="F121" s="81"/>
      <c r="G121" s="80"/>
      <c r="H121" s="81"/>
      <c r="I121" s="81"/>
      <c r="J121" s="80">
        <v>3935.200694736842</v>
      </c>
      <c r="K121" s="80">
        <v>17820.600614035087</v>
      </c>
      <c r="L121" s="80">
        <v>683.1750000000001</v>
      </c>
      <c r="M121" s="79">
        <v>19227.690357894742</v>
      </c>
      <c r="N121" s="80">
        <v>1541.666666666667</v>
      </c>
      <c r="O121" s="80">
        <v>8750.0</v>
      </c>
      <c r="P121" s="79">
        <v>4568.7182748421055</v>
      </c>
      <c r="Q121" s="87">
        <v>878.0691622831578</v>
      </c>
      <c r="R121" s="79">
        <v>16807.954528944916</v>
      </c>
      <c r="S121" s="80">
        <v>5882.78408513072</v>
      </c>
      <c r="T121" s="79">
        <v>10925.170443814197</v>
      </c>
      <c r="U121" s="79">
        <v>11608.345443814196</v>
      </c>
      <c r="V121" s="7"/>
    </row>
    <row r="122">
      <c r="B122" s="7"/>
      <c r="C122" s="78">
        <v>10.0</v>
      </c>
      <c r="D122" s="79">
        <v>41666.66666666667</v>
      </c>
      <c r="E122" s="82"/>
      <c r="F122" s="81"/>
      <c r="G122" s="80"/>
      <c r="H122" s="81"/>
      <c r="I122" s="81"/>
      <c r="J122" s="80">
        <v>3935.200694736842</v>
      </c>
      <c r="K122" s="80">
        <v>17820.600614035087</v>
      </c>
      <c r="L122" s="80">
        <v>683.1750000000001</v>
      </c>
      <c r="M122" s="79">
        <v>19227.690357894742</v>
      </c>
      <c r="N122" s="80">
        <v>1541.666666666667</v>
      </c>
      <c r="O122" s="80">
        <v>8750.0</v>
      </c>
      <c r="P122" s="79">
        <v>4568.7182748421055</v>
      </c>
      <c r="Q122" s="87">
        <v>878.0691622831578</v>
      </c>
      <c r="R122" s="79">
        <v>16807.954528944916</v>
      </c>
      <c r="S122" s="80">
        <v>5882.78408513072</v>
      </c>
      <c r="T122" s="79">
        <v>10925.170443814197</v>
      </c>
      <c r="U122" s="79">
        <v>11608.345443814196</v>
      </c>
      <c r="V122" s="7"/>
    </row>
    <row r="123">
      <c r="B123" s="7"/>
      <c r="C123" s="78">
        <v>11.0</v>
      </c>
      <c r="D123" s="79">
        <v>41666.66666666667</v>
      </c>
      <c r="E123" s="82"/>
      <c r="F123" s="81"/>
      <c r="G123" s="80"/>
      <c r="H123" s="81"/>
      <c r="I123" s="81"/>
      <c r="J123" s="80">
        <v>3935.200694736842</v>
      </c>
      <c r="K123" s="80">
        <v>17820.600614035087</v>
      </c>
      <c r="L123" s="80">
        <v>683.1750000000001</v>
      </c>
      <c r="M123" s="79">
        <v>19227.690357894742</v>
      </c>
      <c r="N123" s="80">
        <v>1541.666666666667</v>
      </c>
      <c r="O123" s="80">
        <v>8750.0</v>
      </c>
      <c r="P123" s="79">
        <v>4568.7182748421055</v>
      </c>
      <c r="Q123" s="87">
        <v>878.0691622831578</v>
      </c>
      <c r="R123" s="79">
        <v>16807.954528944916</v>
      </c>
      <c r="S123" s="80">
        <v>5882.78408513072</v>
      </c>
      <c r="T123" s="79">
        <v>10925.170443814197</v>
      </c>
      <c r="U123" s="79">
        <v>11608.345443814196</v>
      </c>
      <c r="V123" s="7"/>
    </row>
    <row r="124">
      <c r="B124" s="10"/>
      <c r="C124" s="78">
        <v>12.0</v>
      </c>
      <c r="D124" s="79">
        <v>41666.66666666667</v>
      </c>
      <c r="E124" s="82"/>
      <c r="F124" s="81"/>
      <c r="G124" s="80"/>
      <c r="H124" s="81"/>
      <c r="I124" s="81"/>
      <c r="J124" s="80">
        <v>3935.200694736842</v>
      </c>
      <c r="K124" s="80">
        <v>17820.600614035087</v>
      </c>
      <c r="L124" s="80">
        <v>683.1750000000001</v>
      </c>
      <c r="M124" s="79">
        <v>19227.690357894742</v>
      </c>
      <c r="N124" s="80">
        <v>1541.666666666667</v>
      </c>
      <c r="O124" s="80">
        <v>8750.0</v>
      </c>
      <c r="P124" s="79">
        <v>4568.7182748421055</v>
      </c>
      <c r="Q124" s="87">
        <v>878.0691622831578</v>
      </c>
      <c r="R124" s="79">
        <v>16807.954528944916</v>
      </c>
      <c r="S124" s="80">
        <v>5882.78408513072</v>
      </c>
      <c r="T124" s="79">
        <v>10925.170443814197</v>
      </c>
      <c r="U124" s="79">
        <v>11608.345443814196</v>
      </c>
      <c r="V124" s="10"/>
    </row>
    <row r="125">
      <c r="B125" s="85">
        <v>10.0</v>
      </c>
      <c r="C125" s="78">
        <v>1.0</v>
      </c>
      <c r="D125" s="79">
        <v>41666.66666666667</v>
      </c>
      <c r="E125" s="82"/>
      <c r="F125" s="81"/>
      <c r="G125" s="80"/>
      <c r="H125" s="81"/>
      <c r="I125" s="81"/>
      <c r="J125" s="80">
        <v>3935.200694736842</v>
      </c>
      <c r="K125" s="80">
        <v>17820.600614035087</v>
      </c>
      <c r="L125" s="80">
        <v>683.1750000000001</v>
      </c>
      <c r="M125" s="79">
        <v>19227.690357894742</v>
      </c>
      <c r="N125" s="80">
        <v>1541.666666666667</v>
      </c>
      <c r="O125" s="80">
        <v>8750.0</v>
      </c>
      <c r="P125" s="79">
        <v>4568.7182748421055</v>
      </c>
      <c r="Q125" s="87">
        <v>878.0691622831578</v>
      </c>
      <c r="R125" s="79">
        <v>16807.954528944916</v>
      </c>
      <c r="S125" s="80">
        <v>5882.78408513072</v>
      </c>
      <c r="T125" s="79">
        <v>10925.170443814197</v>
      </c>
      <c r="U125" s="79">
        <v>11608.345443814196</v>
      </c>
      <c r="V125" s="86">
        <v>139300.14532577034</v>
      </c>
    </row>
    <row r="126">
      <c r="B126" s="7"/>
      <c r="C126" s="78">
        <v>2.0</v>
      </c>
      <c r="D126" s="79">
        <v>41666.66666666667</v>
      </c>
      <c r="E126" s="82"/>
      <c r="F126" s="81"/>
      <c r="G126" s="80"/>
      <c r="H126" s="81"/>
      <c r="I126" s="81"/>
      <c r="J126" s="80">
        <v>3935.200694736842</v>
      </c>
      <c r="K126" s="80">
        <v>17820.600614035087</v>
      </c>
      <c r="L126" s="80">
        <v>683.1750000000001</v>
      </c>
      <c r="M126" s="79">
        <v>19227.690357894742</v>
      </c>
      <c r="N126" s="80">
        <v>1541.666666666667</v>
      </c>
      <c r="O126" s="80">
        <v>8750.0</v>
      </c>
      <c r="P126" s="79">
        <v>4568.7182748421055</v>
      </c>
      <c r="Q126" s="87">
        <v>878.0691622831578</v>
      </c>
      <c r="R126" s="79">
        <v>16807.954528944916</v>
      </c>
      <c r="S126" s="80">
        <v>5882.78408513072</v>
      </c>
      <c r="T126" s="79">
        <v>10925.170443814197</v>
      </c>
      <c r="U126" s="79">
        <v>11608.345443814196</v>
      </c>
      <c r="V126" s="7"/>
    </row>
    <row r="127">
      <c r="B127" s="7"/>
      <c r="C127" s="78">
        <v>3.0</v>
      </c>
      <c r="D127" s="79">
        <v>41666.66666666667</v>
      </c>
      <c r="E127" s="82"/>
      <c r="F127" s="81"/>
      <c r="G127" s="80"/>
      <c r="H127" s="81"/>
      <c r="I127" s="81"/>
      <c r="J127" s="80">
        <v>3935.200694736842</v>
      </c>
      <c r="K127" s="80">
        <v>17820.600614035087</v>
      </c>
      <c r="L127" s="80">
        <v>683.1750000000001</v>
      </c>
      <c r="M127" s="79">
        <v>19227.690357894742</v>
      </c>
      <c r="N127" s="80">
        <v>1541.666666666667</v>
      </c>
      <c r="O127" s="80">
        <v>8750.0</v>
      </c>
      <c r="P127" s="79">
        <v>4568.7182748421055</v>
      </c>
      <c r="Q127" s="87">
        <v>878.0691622831578</v>
      </c>
      <c r="R127" s="79">
        <v>16807.954528944916</v>
      </c>
      <c r="S127" s="80">
        <v>5882.78408513072</v>
      </c>
      <c r="T127" s="79">
        <v>10925.170443814197</v>
      </c>
      <c r="U127" s="79">
        <v>11608.345443814196</v>
      </c>
      <c r="V127" s="7"/>
    </row>
    <row r="128">
      <c r="B128" s="7"/>
      <c r="C128" s="78">
        <v>4.0</v>
      </c>
      <c r="D128" s="79">
        <v>41666.66666666667</v>
      </c>
      <c r="E128" s="82"/>
      <c r="F128" s="81"/>
      <c r="G128" s="80"/>
      <c r="H128" s="81"/>
      <c r="I128" s="81"/>
      <c r="J128" s="80">
        <v>3935.200694736842</v>
      </c>
      <c r="K128" s="80">
        <v>17820.600614035087</v>
      </c>
      <c r="L128" s="80">
        <v>683.1750000000001</v>
      </c>
      <c r="M128" s="79">
        <v>19227.690357894742</v>
      </c>
      <c r="N128" s="80">
        <v>1541.666666666667</v>
      </c>
      <c r="O128" s="80">
        <v>8750.0</v>
      </c>
      <c r="P128" s="79">
        <v>4568.7182748421055</v>
      </c>
      <c r="Q128" s="87">
        <v>878.0691622831578</v>
      </c>
      <c r="R128" s="79">
        <v>16807.954528944916</v>
      </c>
      <c r="S128" s="80">
        <v>5882.78408513072</v>
      </c>
      <c r="T128" s="79">
        <v>10925.170443814197</v>
      </c>
      <c r="U128" s="79">
        <v>11608.345443814196</v>
      </c>
      <c r="V128" s="7"/>
    </row>
    <row r="129">
      <c r="B129" s="7"/>
      <c r="C129" s="78">
        <v>5.0</v>
      </c>
      <c r="D129" s="79">
        <v>41666.66666666667</v>
      </c>
      <c r="E129" s="82"/>
      <c r="F129" s="81"/>
      <c r="G129" s="80"/>
      <c r="H129" s="81"/>
      <c r="I129" s="81"/>
      <c r="J129" s="80">
        <v>3935.200694736842</v>
      </c>
      <c r="K129" s="80">
        <v>17820.600614035087</v>
      </c>
      <c r="L129" s="80">
        <v>683.1750000000001</v>
      </c>
      <c r="M129" s="79">
        <v>19227.690357894742</v>
      </c>
      <c r="N129" s="80">
        <v>1541.666666666667</v>
      </c>
      <c r="O129" s="80">
        <v>8750.0</v>
      </c>
      <c r="P129" s="79">
        <v>4568.7182748421055</v>
      </c>
      <c r="Q129" s="87">
        <v>878.0691622831578</v>
      </c>
      <c r="R129" s="79">
        <v>16807.954528944916</v>
      </c>
      <c r="S129" s="80">
        <v>5882.78408513072</v>
      </c>
      <c r="T129" s="79">
        <v>10925.170443814197</v>
      </c>
      <c r="U129" s="79">
        <v>11608.345443814196</v>
      </c>
      <c r="V129" s="7"/>
    </row>
    <row r="130">
      <c r="B130" s="7"/>
      <c r="C130" s="78">
        <v>6.0</v>
      </c>
      <c r="D130" s="79">
        <v>41666.66666666667</v>
      </c>
      <c r="E130" s="82"/>
      <c r="F130" s="81"/>
      <c r="G130" s="80"/>
      <c r="H130" s="81"/>
      <c r="I130" s="81"/>
      <c r="J130" s="80">
        <v>3935.200694736842</v>
      </c>
      <c r="K130" s="80">
        <v>17820.600614035087</v>
      </c>
      <c r="L130" s="80">
        <v>683.1750000000001</v>
      </c>
      <c r="M130" s="79">
        <v>19227.690357894742</v>
      </c>
      <c r="N130" s="80">
        <v>1541.666666666667</v>
      </c>
      <c r="O130" s="80">
        <v>8750.0</v>
      </c>
      <c r="P130" s="79">
        <v>4568.7182748421055</v>
      </c>
      <c r="Q130" s="87">
        <v>878.0691622831578</v>
      </c>
      <c r="R130" s="79">
        <v>16807.954528944916</v>
      </c>
      <c r="S130" s="80">
        <v>5882.78408513072</v>
      </c>
      <c r="T130" s="79">
        <v>10925.170443814197</v>
      </c>
      <c r="U130" s="79">
        <v>11608.345443814196</v>
      </c>
      <c r="V130" s="7"/>
    </row>
    <row r="131">
      <c r="B131" s="7"/>
      <c r="C131" s="78">
        <v>7.0</v>
      </c>
      <c r="D131" s="79">
        <v>41666.66666666667</v>
      </c>
      <c r="E131" s="82"/>
      <c r="F131" s="81"/>
      <c r="G131" s="80"/>
      <c r="H131" s="81"/>
      <c r="I131" s="81"/>
      <c r="J131" s="80">
        <v>3935.200694736842</v>
      </c>
      <c r="K131" s="80">
        <v>17820.600614035087</v>
      </c>
      <c r="L131" s="80">
        <v>683.1750000000001</v>
      </c>
      <c r="M131" s="79">
        <v>19227.690357894742</v>
      </c>
      <c r="N131" s="80">
        <v>1541.666666666667</v>
      </c>
      <c r="O131" s="80">
        <v>8750.0</v>
      </c>
      <c r="P131" s="79">
        <v>4568.7182748421055</v>
      </c>
      <c r="Q131" s="87">
        <v>878.0691622831578</v>
      </c>
      <c r="R131" s="79">
        <v>16807.954528944916</v>
      </c>
      <c r="S131" s="80">
        <v>5882.78408513072</v>
      </c>
      <c r="T131" s="79">
        <v>10925.170443814197</v>
      </c>
      <c r="U131" s="79">
        <v>11608.345443814196</v>
      </c>
      <c r="V131" s="7"/>
    </row>
    <row r="132">
      <c r="B132" s="7"/>
      <c r="C132" s="78">
        <v>8.0</v>
      </c>
      <c r="D132" s="79">
        <v>41666.66666666667</v>
      </c>
      <c r="E132" s="82"/>
      <c r="F132" s="81"/>
      <c r="G132" s="80"/>
      <c r="H132" s="81"/>
      <c r="I132" s="81"/>
      <c r="J132" s="80">
        <v>3935.200694736842</v>
      </c>
      <c r="K132" s="80">
        <v>17820.600614035087</v>
      </c>
      <c r="L132" s="80">
        <v>683.1750000000001</v>
      </c>
      <c r="M132" s="79">
        <v>19227.690357894742</v>
      </c>
      <c r="N132" s="80">
        <v>1541.666666666667</v>
      </c>
      <c r="O132" s="80">
        <v>8750.0</v>
      </c>
      <c r="P132" s="79">
        <v>4568.7182748421055</v>
      </c>
      <c r="Q132" s="87">
        <v>878.0691622831578</v>
      </c>
      <c r="R132" s="79">
        <v>16807.954528944916</v>
      </c>
      <c r="S132" s="80">
        <v>5882.78408513072</v>
      </c>
      <c r="T132" s="79">
        <v>10925.170443814197</v>
      </c>
      <c r="U132" s="79">
        <v>11608.345443814196</v>
      </c>
      <c r="V132" s="7"/>
    </row>
    <row r="133">
      <c r="B133" s="7"/>
      <c r="C133" s="78">
        <v>9.0</v>
      </c>
      <c r="D133" s="79">
        <v>41666.66666666667</v>
      </c>
      <c r="E133" s="82"/>
      <c r="F133" s="81"/>
      <c r="G133" s="80"/>
      <c r="H133" s="81"/>
      <c r="I133" s="81"/>
      <c r="J133" s="80">
        <v>3935.200694736842</v>
      </c>
      <c r="K133" s="80">
        <v>17820.600614035087</v>
      </c>
      <c r="L133" s="80">
        <v>683.1750000000001</v>
      </c>
      <c r="M133" s="79">
        <v>19227.690357894742</v>
      </c>
      <c r="N133" s="80">
        <v>1541.666666666667</v>
      </c>
      <c r="O133" s="80">
        <v>8750.0</v>
      </c>
      <c r="P133" s="79">
        <v>4568.7182748421055</v>
      </c>
      <c r="Q133" s="87">
        <v>878.0691622831578</v>
      </c>
      <c r="R133" s="79">
        <v>16807.954528944916</v>
      </c>
      <c r="S133" s="80">
        <v>5882.78408513072</v>
      </c>
      <c r="T133" s="79">
        <v>10925.170443814197</v>
      </c>
      <c r="U133" s="79">
        <v>11608.345443814196</v>
      </c>
      <c r="V133" s="7"/>
    </row>
    <row r="134">
      <c r="B134" s="7"/>
      <c r="C134" s="78">
        <v>10.0</v>
      </c>
      <c r="D134" s="79">
        <v>41666.66666666667</v>
      </c>
      <c r="E134" s="82"/>
      <c r="F134" s="81"/>
      <c r="G134" s="80"/>
      <c r="H134" s="81"/>
      <c r="I134" s="81"/>
      <c r="J134" s="80">
        <v>3935.200694736842</v>
      </c>
      <c r="K134" s="80">
        <v>17820.600614035087</v>
      </c>
      <c r="L134" s="80">
        <v>683.1750000000001</v>
      </c>
      <c r="M134" s="79">
        <v>19227.690357894742</v>
      </c>
      <c r="N134" s="80">
        <v>1541.666666666667</v>
      </c>
      <c r="O134" s="80">
        <v>8750.0</v>
      </c>
      <c r="P134" s="79">
        <v>4568.7182748421055</v>
      </c>
      <c r="Q134" s="87">
        <v>878.0691622831578</v>
      </c>
      <c r="R134" s="79">
        <v>16807.954528944916</v>
      </c>
      <c r="S134" s="80">
        <v>5882.78408513072</v>
      </c>
      <c r="T134" s="79">
        <v>10925.170443814197</v>
      </c>
      <c r="U134" s="79">
        <v>11608.345443814196</v>
      </c>
      <c r="V134" s="7"/>
    </row>
    <row r="135">
      <c r="B135" s="7"/>
      <c r="C135" s="78">
        <v>11.0</v>
      </c>
      <c r="D135" s="79">
        <v>41666.66666666667</v>
      </c>
      <c r="E135" s="82"/>
      <c r="F135" s="81"/>
      <c r="G135" s="80"/>
      <c r="H135" s="81"/>
      <c r="I135" s="81"/>
      <c r="J135" s="80">
        <v>3935.200694736842</v>
      </c>
      <c r="K135" s="80">
        <v>17820.600614035087</v>
      </c>
      <c r="L135" s="80">
        <v>683.1750000000001</v>
      </c>
      <c r="M135" s="79">
        <v>19227.690357894742</v>
      </c>
      <c r="N135" s="80">
        <v>1541.666666666667</v>
      </c>
      <c r="O135" s="80">
        <v>8750.0</v>
      </c>
      <c r="P135" s="79">
        <v>4568.7182748421055</v>
      </c>
      <c r="Q135" s="87">
        <v>878.0691622831578</v>
      </c>
      <c r="R135" s="79">
        <v>16807.954528944916</v>
      </c>
      <c r="S135" s="80">
        <v>5882.78408513072</v>
      </c>
      <c r="T135" s="79">
        <v>10925.170443814197</v>
      </c>
      <c r="U135" s="79">
        <v>11608.345443814196</v>
      </c>
      <c r="V135" s="7"/>
    </row>
    <row r="136">
      <c r="B136" s="10"/>
      <c r="C136" s="78">
        <v>12.0</v>
      </c>
      <c r="D136" s="79">
        <v>41666.66666666667</v>
      </c>
      <c r="E136" s="82"/>
      <c r="F136" s="81"/>
      <c r="G136" s="80"/>
      <c r="H136" s="81"/>
      <c r="I136" s="81"/>
      <c r="J136" s="80">
        <v>3935.200694736842</v>
      </c>
      <c r="K136" s="80">
        <v>17820.600614035087</v>
      </c>
      <c r="L136" s="80">
        <v>683.1750000000001</v>
      </c>
      <c r="M136" s="79">
        <v>19227.690357894742</v>
      </c>
      <c r="N136" s="80">
        <v>1541.666666666667</v>
      </c>
      <c r="O136" s="80">
        <v>8750.0</v>
      </c>
      <c r="P136" s="79">
        <v>4568.7182748421055</v>
      </c>
      <c r="Q136" s="87">
        <v>878.0691622831578</v>
      </c>
      <c r="R136" s="79">
        <v>16807.954528944916</v>
      </c>
      <c r="S136" s="80">
        <v>5882.78408513072</v>
      </c>
      <c r="T136" s="79">
        <v>10925.170443814197</v>
      </c>
      <c r="U136" s="79">
        <v>11608.345443814196</v>
      </c>
      <c r="V136" s="10"/>
    </row>
    <row r="140">
      <c r="B140" s="96" t="s">
        <v>128</v>
      </c>
      <c r="C140" s="96" t="s">
        <v>189</v>
      </c>
      <c r="G140" s="97" t="s">
        <v>190</v>
      </c>
      <c r="H140" s="98"/>
      <c r="I140" s="98"/>
      <c r="J140" s="97" t="s">
        <v>191</v>
      </c>
      <c r="K140" s="97" t="s">
        <v>192</v>
      </c>
      <c r="L140" s="99">
        <f>IRR(C141:C146)</f>
        <v>0.3868047108</v>
      </c>
    </row>
    <row r="141">
      <c r="B141" s="100">
        <v>0.0</v>
      </c>
      <c r="C141" s="100">
        <v>-88345.0</v>
      </c>
      <c r="G141" s="101">
        <v>0.0</v>
      </c>
      <c r="H141" s="102"/>
      <c r="I141" s="102"/>
      <c r="J141" s="103">
        <f t="shared" ref="J141:J241" si="1">NPV(G141,$C$142:$C$146)+$C$141</f>
        <v>200850</v>
      </c>
    </row>
    <row r="142">
      <c r="B142" s="100">
        <v>1.0</v>
      </c>
      <c r="C142" s="100">
        <v>22506.0</v>
      </c>
      <c r="G142" s="101">
        <v>0.005</v>
      </c>
      <c r="H142" s="102"/>
      <c r="I142" s="102"/>
      <c r="J142" s="103">
        <f t="shared" si="1"/>
        <v>195262.3654</v>
      </c>
    </row>
    <row r="143">
      <c r="B143" s="100">
        <v>2.0</v>
      </c>
      <c r="C143" s="100">
        <v>18573.0</v>
      </c>
      <c r="G143" s="101">
        <v>0.01</v>
      </c>
      <c r="H143" s="102"/>
      <c r="I143" s="102"/>
      <c r="J143" s="103">
        <f t="shared" si="1"/>
        <v>189820.4577</v>
      </c>
    </row>
    <row r="144">
      <c r="B144" s="100">
        <v>3.0</v>
      </c>
      <c r="C144" s="100">
        <v>49173.0</v>
      </c>
      <c r="G144" s="101">
        <v>0.015</v>
      </c>
      <c r="H144" s="102"/>
      <c r="I144" s="102"/>
      <c r="J144" s="103">
        <f t="shared" si="1"/>
        <v>184519.6628</v>
      </c>
    </row>
    <row r="145">
      <c r="B145" s="100">
        <v>4.0</v>
      </c>
      <c r="C145" s="100">
        <v>69470.0</v>
      </c>
      <c r="G145" s="101">
        <v>0.02</v>
      </c>
      <c r="H145" s="102"/>
      <c r="I145" s="102"/>
      <c r="J145" s="103">
        <f t="shared" si="1"/>
        <v>179355.5367</v>
      </c>
    </row>
    <row r="146">
      <c r="B146" s="100">
        <v>5.0</v>
      </c>
      <c r="C146" s="100">
        <v>129473.0</v>
      </c>
      <c r="G146" s="101">
        <v>0.025</v>
      </c>
      <c r="H146" s="102"/>
      <c r="I146" s="102"/>
      <c r="J146" s="103">
        <f t="shared" si="1"/>
        <v>174323.7983</v>
      </c>
    </row>
    <row r="147">
      <c r="G147" s="101">
        <v>0.03</v>
      </c>
      <c r="H147" s="102"/>
      <c r="I147" s="102"/>
      <c r="J147" s="103">
        <f t="shared" si="1"/>
        <v>169420.3224</v>
      </c>
    </row>
    <row r="148">
      <c r="G148" s="101">
        <v>0.035</v>
      </c>
      <c r="H148" s="102"/>
      <c r="I148" s="102"/>
      <c r="J148" s="103">
        <f t="shared" si="1"/>
        <v>164641.1338</v>
      </c>
    </row>
    <row r="149">
      <c r="G149" s="101">
        <v>0.04</v>
      </c>
      <c r="H149" s="102"/>
      <c r="I149" s="102"/>
      <c r="J149" s="103">
        <f t="shared" si="1"/>
        <v>159982.4005</v>
      </c>
    </row>
    <row r="150">
      <c r="G150" s="101">
        <v>0.045</v>
      </c>
      <c r="H150" s="102"/>
      <c r="I150" s="102"/>
      <c r="J150" s="103">
        <f t="shared" si="1"/>
        <v>155440.4283</v>
      </c>
    </row>
    <row r="151">
      <c r="G151" s="101">
        <v>0.05</v>
      </c>
      <c r="H151" s="102"/>
      <c r="I151" s="102"/>
      <c r="J151" s="103">
        <f t="shared" si="1"/>
        <v>151011.6547</v>
      </c>
    </row>
    <row r="152">
      <c r="G152" s="101">
        <v>0.055</v>
      </c>
      <c r="H152" s="102"/>
      <c r="I152" s="102"/>
      <c r="J152" s="103">
        <f t="shared" si="1"/>
        <v>146692.6442</v>
      </c>
    </row>
    <row r="153">
      <c r="G153" s="101">
        <v>0.06</v>
      </c>
      <c r="H153" s="102"/>
      <c r="I153" s="102"/>
      <c r="J153" s="103">
        <f t="shared" si="1"/>
        <v>142480.0826</v>
      </c>
    </row>
    <row r="154">
      <c r="G154" s="101">
        <v>0.065</v>
      </c>
      <c r="H154" s="102"/>
      <c r="I154" s="102"/>
      <c r="J154" s="103">
        <f t="shared" si="1"/>
        <v>138370.7723</v>
      </c>
    </row>
    <row r="155">
      <c r="G155" s="101">
        <v>0.07</v>
      </c>
      <c r="H155" s="102"/>
      <c r="I155" s="102"/>
      <c r="J155" s="103">
        <f t="shared" si="1"/>
        <v>134361.6279</v>
      </c>
    </row>
    <row r="156">
      <c r="G156" s="101">
        <v>0.075</v>
      </c>
      <c r="H156" s="102"/>
      <c r="I156" s="102"/>
      <c r="J156" s="103">
        <f t="shared" si="1"/>
        <v>130449.6713</v>
      </c>
    </row>
    <row r="157">
      <c r="G157" s="101">
        <v>0.08</v>
      </c>
      <c r="H157" s="102"/>
      <c r="I157" s="102"/>
      <c r="J157" s="103">
        <f t="shared" si="1"/>
        <v>126632.0277</v>
      </c>
    </row>
    <row r="158">
      <c r="G158" s="101">
        <v>0.085</v>
      </c>
      <c r="H158" s="102"/>
      <c r="I158" s="102"/>
      <c r="J158" s="103">
        <f t="shared" si="1"/>
        <v>122905.9217</v>
      </c>
    </row>
    <row r="159">
      <c r="G159" s="101">
        <v>0.09</v>
      </c>
      <c r="H159" s="102"/>
      <c r="I159" s="102"/>
      <c r="J159" s="103">
        <f t="shared" si="1"/>
        <v>119268.673</v>
      </c>
    </row>
    <row r="160">
      <c r="G160" s="101">
        <v>0.095</v>
      </c>
      <c r="H160" s="102"/>
      <c r="I160" s="102"/>
      <c r="J160" s="103">
        <f t="shared" si="1"/>
        <v>115717.6929</v>
      </c>
    </row>
    <row r="161">
      <c r="G161" s="101">
        <v>0.1</v>
      </c>
      <c r="H161" s="102"/>
      <c r="I161" s="102"/>
      <c r="J161" s="103">
        <f t="shared" si="1"/>
        <v>112250.4807</v>
      </c>
    </row>
    <row r="162">
      <c r="G162" s="101">
        <v>0.105</v>
      </c>
      <c r="H162" s="102"/>
      <c r="I162" s="102"/>
      <c r="J162" s="103">
        <f t="shared" si="1"/>
        <v>108864.6204</v>
      </c>
    </row>
    <row r="163">
      <c r="G163" s="101">
        <v>0.11</v>
      </c>
      <c r="H163" s="102"/>
      <c r="I163" s="102"/>
      <c r="J163" s="103">
        <f t="shared" si="1"/>
        <v>105557.7775</v>
      </c>
    </row>
    <row r="164">
      <c r="G164" s="101">
        <v>0.115</v>
      </c>
      <c r="H164" s="102"/>
      <c r="I164" s="102"/>
      <c r="J164" s="103">
        <f t="shared" si="1"/>
        <v>102327.6954</v>
      </c>
    </row>
    <row r="165">
      <c r="G165" s="101">
        <v>0.12</v>
      </c>
      <c r="H165" s="102"/>
      <c r="I165" s="102"/>
      <c r="J165" s="103">
        <f t="shared" si="1"/>
        <v>99172.19307</v>
      </c>
    </row>
    <row r="166">
      <c r="G166" s="101">
        <v>0.125</v>
      </c>
      <c r="H166" s="102"/>
      <c r="I166" s="102"/>
      <c r="J166" s="103">
        <f t="shared" si="1"/>
        <v>96089.16173</v>
      </c>
    </row>
    <row r="167">
      <c r="G167" s="101">
        <v>0.13</v>
      </c>
      <c r="H167" s="102"/>
      <c r="I167" s="102"/>
      <c r="J167" s="103">
        <f t="shared" si="1"/>
        <v>93076.56234</v>
      </c>
    </row>
    <row r="168">
      <c r="G168" s="101">
        <v>0.135</v>
      </c>
      <c r="H168" s="102"/>
      <c r="I168" s="102"/>
      <c r="J168" s="103">
        <f t="shared" si="1"/>
        <v>90132.42291</v>
      </c>
    </row>
    <row r="169">
      <c r="G169" s="101">
        <v>0.14</v>
      </c>
      <c r="H169" s="102"/>
      <c r="I169" s="102"/>
      <c r="J169" s="103">
        <f t="shared" si="1"/>
        <v>87254.83599</v>
      </c>
    </row>
    <row r="170">
      <c r="G170" s="101">
        <v>0.145</v>
      </c>
      <c r="H170" s="102"/>
      <c r="I170" s="102"/>
      <c r="J170" s="103">
        <f t="shared" si="1"/>
        <v>84441.95625</v>
      </c>
    </row>
    <row r="171">
      <c r="G171" s="101">
        <v>0.15</v>
      </c>
      <c r="H171" s="102"/>
      <c r="I171" s="102"/>
      <c r="J171" s="103">
        <f t="shared" si="1"/>
        <v>81691.99823</v>
      </c>
    </row>
    <row r="172">
      <c r="G172" s="101">
        <v>0.155</v>
      </c>
      <c r="H172" s="102"/>
      <c r="I172" s="102"/>
      <c r="J172" s="103">
        <f t="shared" si="1"/>
        <v>79003.23409</v>
      </c>
    </row>
    <row r="173">
      <c r="G173" s="101">
        <v>0.16</v>
      </c>
      <c r="H173" s="102"/>
      <c r="I173" s="102"/>
      <c r="J173" s="103">
        <f t="shared" si="1"/>
        <v>76373.9915</v>
      </c>
    </row>
    <row r="174">
      <c r="G174" s="101">
        <v>0.165</v>
      </c>
      <c r="H174" s="102"/>
      <c r="I174" s="102"/>
      <c r="J174" s="103">
        <f t="shared" si="1"/>
        <v>73802.6516</v>
      </c>
    </row>
    <row r="175">
      <c r="G175" s="101">
        <v>0.17</v>
      </c>
      <c r="H175" s="102"/>
      <c r="I175" s="102"/>
      <c r="J175" s="103">
        <f t="shared" si="1"/>
        <v>71287.64707</v>
      </c>
    </row>
    <row r="176">
      <c r="G176" s="101">
        <v>0.175</v>
      </c>
      <c r="H176" s="102"/>
      <c r="I176" s="102"/>
      <c r="J176" s="103">
        <f t="shared" si="1"/>
        <v>68827.46026</v>
      </c>
    </row>
    <row r="177">
      <c r="G177" s="101">
        <v>0.18</v>
      </c>
      <c r="H177" s="102"/>
      <c r="I177" s="102"/>
      <c r="J177" s="103">
        <f t="shared" si="1"/>
        <v>66420.62138</v>
      </c>
    </row>
    <row r="178">
      <c r="G178" s="101">
        <v>0.185</v>
      </c>
      <c r="H178" s="102"/>
      <c r="I178" s="102"/>
      <c r="J178" s="103">
        <f t="shared" si="1"/>
        <v>64065.70681</v>
      </c>
    </row>
    <row r="179">
      <c r="G179" s="101">
        <v>0.19</v>
      </c>
      <c r="H179" s="102"/>
      <c r="I179" s="102"/>
      <c r="J179" s="103">
        <f t="shared" si="1"/>
        <v>61761.33742</v>
      </c>
    </row>
    <row r="180">
      <c r="G180" s="101">
        <v>0.195</v>
      </c>
      <c r="H180" s="102"/>
      <c r="I180" s="102"/>
      <c r="J180" s="103">
        <f t="shared" si="1"/>
        <v>59506.17698</v>
      </c>
    </row>
    <row r="181">
      <c r="G181" s="101">
        <v>0.2</v>
      </c>
      <c r="H181" s="102"/>
      <c r="I181" s="102"/>
      <c r="J181" s="103">
        <f t="shared" si="1"/>
        <v>57298.93068</v>
      </c>
    </row>
    <row r="182">
      <c r="G182" s="101">
        <v>0.205</v>
      </c>
      <c r="H182" s="102"/>
      <c r="I182" s="102"/>
      <c r="J182" s="103">
        <f t="shared" si="1"/>
        <v>55138.34364</v>
      </c>
    </row>
    <row r="183">
      <c r="G183" s="101">
        <v>0.21</v>
      </c>
      <c r="H183" s="102"/>
      <c r="I183" s="102"/>
      <c r="J183" s="103">
        <f t="shared" si="1"/>
        <v>53023.19948</v>
      </c>
    </row>
    <row r="184">
      <c r="G184" s="101">
        <v>0.215</v>
      </c>
      <c r="H184" s="102"/>
      <c r="I184" s="102"/>
      <c r="J184" s="103">
        <f t="shared" si="1"/>
        <v>50952.31904</v>
      </c>
    </row>
    <row r="185">
      <c r="G185" s="101">
        <v>0.22</v>
      </c>
      <c r="H185" s="102"/>
      <c r="I185" s="102"/>
      <c r="J185" s="103">
        <f t="shared" si="1"/>
        <v>48924.55902</v>
      </c>
    </row>
    <row r="186">
      <c r="G186" s="101">
        <v>0.225</v>
      </c>
      <c r="H186" s="102"/>
      <c r="I186" s="102"/>
      <c r="J186" s="103">
        <f t="shared" si="1"/>
        <v>46938.81075</v>
      </c>
    </row>
    <row r="187">
      <c r="G187" s="101">
        <v>0.23</v>
      </c>
      <c r="H187" s="102"/>
      <c r="I187" s="102"/>
      <c r="J187" s="103">
        <f t="shared" si="1"/>
        <v>44993.99903</v>
      </c>
    </row>
    <row r="188">
      <c r="G188" s="101">
        <v>0.235</v>
      </c>
      <c r="H188" s="102"/>
      <c r="I188" s="102"/>
      <c r="J188" s="103">
        <f t="shared" si="1"/>
        <v>43089.08094</v>
      </c>
    </row>
    <row r="189">
      <c r="G189" s="101">
        <v>0.24</v>
      </c>
      <c r="H189" s="102"/>
      <c r="I189" s="102"/>
      <c r="J189" s="103">
        <f t="shared" si="1"/>
        <v>41223.04474</v>
      </c>
    </row>
    <row r="190">
      <c r="G190" s="101">
        <v>0.245</v>
      </c>
      <c r="H190" s="102"/>
      <c r="I190" s="102"/>
      <c r="J190" s="103">
        <f t="shared" si="1"/>
        <v>39394.90881</v>
      </c>
    </row>
    <row r="191">
      <c r="G191" s="101">
        <v>0.25</v>
      </c>
      <c r="H191" s="102"/>
      <c r="I191" s="102"/>
      <c r="J191" s="103">
        <f t="shared" si="1"/>
        <v>37603.72064</v>
      </c>
    </row>
    <row r="192">
      <c r="G192" s="101">
        <v>0.255</v>
      </c>
      <c r="H192" s="102"/>
      <c r="I192" s="102"/>
      <c r="J192" s="103">
        <f t="shared" si="1"/>
        <v>35848.55583</v>
      </c>
    </row>
    <row r="193">
      <c r="G193" s="101">
        <v>0.26</v>
      </c>
      <c r="H193" s="102"/>
      <c r="I193" s="102"/>
      <c r="J193" s="103">
        <f t="shared" si="1"/>
        <v>34128.51715</v>
      </c>
    </row>
    <row r="194">
      <c r="G194" s="101">
        <v>0.265</v>
      </c>
      <c r="H194" s="102"/>
      <c r="I194" s="102"/>
      <c r="J194" s="103">
        <f t="shared" si="1"/>
        <v>32442.73361</v>
      </c>
    </row>
    <row r="195">
      <c r="G195" s="101">
        <v>0.27</v>
      </c>
      <c r="H195" s="102"/>
      <c r="I195" s="102"/>
      <c r="J195" s="103">
        <f t="shared" si="1"/>
        <v>30790.35962</v>
      </c>
    </row>
    <row r="196">
      <c r="G196" s="101">
        <v>0.275</v>
      </c>
      <c r="H196" s="102"/>
      <c r="I196" s="102"/>
      <c r="J196" s="103">
        <f t="shared" si="1"/>
        <v>29170.57412</v>
      </c>
    </row>
    <row r="197">
      <c r="G197" s="101">
        <v>0.28</v>
      </c>
      <c r="H197" s="102"/>
      <c r="I197" s="102"/>
      <c r="J197" s="103">
        <f t="shared" si="1"/>
        <v>27582.57976</v>
      </c>
    </row>
    <row r="198">
      <c r="G198" s="101">
        <v>0.285</v>
      </c>
      <c r="H198" s="102"/>
      <c r="I198" s="102"/>
      <c r="J198" s="103">
        <f t="shared" si="1"/>
        <v>26025.60214</v>
      </c>
    </row>
    <row r="199">
      <c r="G199" s="101">
        <v>0.29</v>
      </c>
      <c r="H199" s="102"/>
      <c r="I199" s="102"/>
      <c r="J199" s="103">
        <f t="shared" si="1"/>
        <v>24498.88905</v>
      </c>
    </row>
    <row r="200">
      <c r="G200" s="101">
        <v>0.295</v>
      </c>
      <c r="H200" s="102"/>
      <c r="I200" s="102"/>
      <c r="J200" s="103">
        <f t="shared" si="1"/>
        <v>23001.70973</v>
      </c>
    </row>
    <row r="201">
      <c r="G201" s="101">
        <v>0.3</v>
      </c>
      <c r="H201" s="102"/>
      <c r="I201" s="102"/>
      <c r="J201" s="103">
        <f t="shared" si="1"/>
        <v>21533.35418</v>
      </c>
    </row>
    <row r="202">
      <c r="G202" s="101">
        <v>0.305</v>
      </c>
      <c r="H202" s="102"/>
      <c r="I202" s="102"/>
      <c r="J202" s="103">
        <f t="shared" si="1"/>
        <v>20093.1325</v>
      </c>
    </row>
    <row r="203">
      <c r="G203" s="101">
        <v>0.31</v>
      </c>
      <c r="H203" s="102"/>
      <c r="I203" s="102"/>
      <c r="J203" s="103">
        <f t="shared" si="1"/>
        <v>18680.37421</v>
      </c>
    </row>
    <row r="204">
      <c r="G204" s="101">
        <v>0.315</v>
      </c>
      <c r="H204" s="102"/>
      <c r="I204" s="102"/>
      <c r="J204" s="103">
        <f t="shared" si="1"/>
        <v>17294.42765</v>
      </c>
    </row>
    <row r="205">
      <c r="G205" s="101">
        <v>0.32</v>
      </c>
      <c r="H205" s="102"/>
      <c r="I205" s="102"/>
      <c r="J205" s="103">
        <f t="shared" si="1"/>
        <v>15934.65937</v>
      </c>
    </row>
    <row r="206">
      <c r="G206" s="101">
        <v>0.325</v>
      </c>
      <c r="H206" s="102"/>
      <c r="I206" s="102"/>
      <c r="J206" s="103">
        <f t="shared" si="1"/>
        <v>14600.45354</v>
      </c>
    </row>
    <row r="207">
      <c r="G207" s="101">
        <v>0.33</v>
      </c>
      <c r="H207" s="102"/>
      <c r="I207" s="102"/>
      <c r="J207" s="103">
        <f t="shared" si="1"/>
        <v>13291.21142</v>
      </c>
    </row>
    <row r="208">
      <c r="G208" s="101">
        <v>0.335</v>
      </c>
      <c r="H208" s="102"/>
      <c r="I208" s="102"/>
      <c r="J208" s="103">
        <f t="shared" si="1"/>
        <v>12006.35076</v>
      </c>
    </row>
    <row r="209">
      <c r="G209" s="101">
        <v>0.34</v>
      </c>
      <c r="H209" s="102"/>
      <c r="I209" s="102"/>
      <c r="J209" s="103">
        <f t="shared" si="1"/>
        <v>10745.30533</v>
      </c>
    </row>
    <row r="210">
      <c r="G210" s="101">
        <v>0.345</v>
      </c>
      <c r="H210" s="102"/>
      <c r="I210" s="102"/>
      <c r="J210" s="103">
        <f t="shared" si="1"/>
        <v>9507.524409</v>
      </c>
    </row>
    <row r="211">
      <c r="G211" s="101">
        <v>0.35</v>
      </c>
      <c r="H211" s="102"/>
      <c r="I211" s="102"/>
      <c r="J211" s="103">
        <f t="shared" si="1"/>
        <v>8292.472284</v>
      </c>
    </row>
    <row r="212">
      <c r="G212" s="101">
        <v>0.355</v>
      </c>
      <c r="H212" s="102"/>
      <c r="I212" s="102"/>
      <c r="J212" s="103">
        <f t="shared" si="1"/>
        <v>7099.62779</v>
      </c>
    </row>
    <row r="213">
      <c r="G213" s="101">
        <v>0.36</v>
      </c>
      <c r="H213" s="102"/>
      <c r="I213" s="102"/>
      <c r="J213" s="103">
        <f t="shared" si="1"/>
        <v>5928.483858</v>
      </c>
    </row>
    <row r="214">
      <c r="G214" s="101">
        <v>0.365</v>
      </c>
      <c r="H214" s="102"/>
      <c r="I214" s="102"/>
      <c r="J214" s="103">
        <f t="shared" si="1"/>
        <v>4778.547076</v>
      </c>
    </row>
    <row r="215">
      <c r="G215" s="101">
        <v>0.37</v>
      </c>
      <c r="H215" s="102"/>
      <c r="I215" s="102"/>
      <c r="J215" s="103">
        <f t="shared" si="1"/>
        <v>3649.337275</v>
      </c>
    </row>
    <row r="216">
      <c r="G216" s="101">
        <v>0.375</v>
      </c>
      <c r="H216" s="102"/>
      <c r="I216" s="102"/>
      <c r="J216" s="103">
        <f t="shared" si="1"/>
        <v>2540.387113</v>
      </c>
    </row>
    <row r="217">
      <c r="G217" s="101">
        <v>0.38</v>
      </c>
      <c r="H217" s="102"/>
      <c r="I217" s="102"/>
      <c r="J217" s="103">
        <f t="shared" si="1"/>
        <v>1451.241692</v>
      </c>
    </row>
    <row r="218">
      <c r="G218" s="101">
        <v>0.385</v>
      </c>
      <c r="H218" s="102"/>
      <c r="I218" s="102"/>
      <c r="J218" s="103">
        <f t="shared" si="1"/>
        <v>381.458171</v>
      </c>
    </row>
    <row r="219">
      <c r="G219" s="101">
        <v>0.39</v>
      </c>
      <c r="H219" s="102"/>
      <c r="I219" s="102"/>
      <c r="J219" s="103">
        <f t="shared" si="1"/>
        <v>-669.3945951</v>
      </c>
    </row>
    <row r="220">
      <c r="G220" s="101">
        <v>0.395</v>
      </c>
      <c r="H220" s="102"/>
      <c r="I220" s="102"/>
      <c r="J220" s="103">
        <f t="shared" si="1"/>
        <v>-1701.736411</v>
      </c>
    </row>
    <row r="221">
      <c r="G221" s="101">
        <v>0.4</v>
      </c>
      <c r="H221" s="102"/>
      <c r="I221" s="102"/>
      <c r="J221" s="103">
        <f t="shared" si="1"/>
        <v>-2715.976081</v>
      </c>
    </row>
    <row r="222">
      <c r="G222" s="101">
        <v>0.405</v>
      </c>
      <c r="H222" s="102"/>
      <c r="I222" s="102"/>
      <c r="J222" s="103">
        <f t="shared" si="1"/>
        <v>-3712.511743</v>
      </c>
    </row>
    <row r="223">
      <c r="G223" s="101">
        <v>0.41</v>
      </c>
      <c r="H223" s="102"/>
      <c r="I223" s="102"/>
      <c r="J223" s="103">
        <f t="shared" si="1"/>
        <v>-4691.731181</v>
      </c>
    </row>
    <row r="224">
      <c r="G224" s="101">
        <v>0.415</v>
      </c>
      <c r="H224" s="102"/>
      <c r="I224" s="102"/>
      <c r="J224" s="103">
        <f t="shared" si="1"/>
        <v>-5654.012139</v>
      </c>
    </row>
    <row r="225">
      <c r="G225" s="101">
        <v>0.42</v>
      </c>
      <c r="H225" s="102"/>
      <c r="I225" s="102"/>
      <c r="J225" s="103">
        <f t="shared" si="1"/>
        <v>-6599.722616</v>
      </c>
    </row>
    <row r="226">
      <c r="G226" s="101">
        <v>0.425</v>
      </c>
      <c r="H226" s="102"/>
      <c r="I226" s="102"/>
      <c r="J226" s="103">
        <f t="shared" si="1"/>
        <v>-7529.221156</v>
      </c>
    </row>
    <row r="227">
      <c r="G227" s="101">
        <v>0.43</v>
      </c>
      <c r="H227" s="102"/>
      <c r="I227" s="102"/>
      <c r="J227" s="103">
        <f t="shared" si="1"/>
        <v>-8442.857124</v>
      </c>
    </row>
    <row r="228">
      <c r="G228" s="101">
        <v>0.435</v>
      </c>
      <c r="H228" s="102"/>
      <c r="I228" s="102"/>
      <c r="J228" s="103">
        <f t="shared" si="1"/>
        <v>-9340.970977</v>
      </c>
    </row>
    <row r="229">
      <c r="G229" s="101">
        <v>0.44</v>
      </c>
      <c r="H229" s="102"/>
      <c r="I229" s="102"/>
      <c r="J229" s="103">
        <f t="shared" si="1"/>
        <v>-10223.89452</v>
      </c>
    </row>
    <row r="230">
      <c r="G230" s="101">
        <v>0.445</v>
      </c>
      <c r="H230" s="102"/>
      <c r="I230" s="102"/>
      <c r="J230" s="103">
        <f t="shared" si="1"/>
        <v>-11091.95118</v>
      </c>
    </row>
    <row r="231">
      <c r="G231" s="101">
        <v>0.45</v>
      </c>
      <c r="H231" s="102"/>
      <c r="I231" s="102"/>
      <c r="J231" s="103">
        <f t="shared" si="1"/>
        <v>-11945.45619</v>
      </c>
    </row>
    <row r="232">
      <c r="G232" s="101">
        <v>0.455</v>
      </c>
      <c r="H232" s="102"/>
      <c r="I232" s="102"/>
      <c r="J232" s="103">
        <f t="shared" si="1"/>
        <v>-12784.71692</v>
      </c>
    </row>
    <row r="233">
      <c r="G233" s="101">
        <v>0.46</v>
      </c>
      <c r="H233" s="102"/>
      <c r="I233" s="102"/>
      <c r="J233" s="103">
        <f t="shared" si="1"/>
        <v>-13610.03301</v>
      </c>
    </row>
    <row r="234">
      <c r="G234" s="101">
        <v>0.465</v>
      </c>
      <c r="H234" s="102"/>
      <c r="I234" s="102"/>
      <c r="J234" s="103">
        <f t="shared" si="1"/>
        <v>-14421.69664</v>
      </c>
    </row>
    <row r="235">
      <c r="G235" s="101">
        <v>0.47</v>
      </c>
      <c r="H235" s="102"/>
      <c r="I235" s="102"/>
      <c r="J235" s="103">
        <f t="shared" si="1"/>
        <v>-15219.99275</v>
      </c>
    </row>
    <row r="236">
      <c r="G236" s="101">
        <v>0.475</v>
      </c>
      <c r="H236" s="102"/>
      <c r="I236" s="102"/>
      <c r="J236" s="103">
        <f t="shared" si="1"/>
        <v>-16005.19922</v>
      </c>
    </row>
    <row r="237">
      <c r="G237" s="101">
        <v>0.48</v>
      </c>
      <c r="H237" s="102"/>
      <c r="I237" s="102"/>
      <c r="J237" s="103">
        <f t="shared" si="1"/>
        <v>-16777.58707</v>
      </c>
    </row>
    <row r="238">
      <c r="G238" s="101">
        <v>0.485</v>
      </c>
      <c r="H238" s="102"/>
      <c r="I238" s="102"/>
      <c r="J238" s="103">
        <f t="shared" si="1"/>
        <v>-17537.42069</v>
      </c>
    </row>
    <row r="239">
      <c r="G239" s="101">
        <v>0.49</v>
      </c>
      <c r="H239" s="102"/>
      <c r="I239" s="102"/>
      <c r="J239" s="103">
        <f t="shared" si="1"/>
        <v>-18284.958</v>
      </c>
    </row>
    <row r="240">
      <c r="G240" s="101">
        <v>0.495</v>
      </c>
      <c r="H240" s="102"/>
      <c r="I240" s="102"/>
      <c r="J240" s="103">
        <f t="shared" si="1"/>
        <v>-19020.4506</v>
      </c>
    </row>
    <row r="241">
      <c r="G241" s="101">
        <v>0.5</v>
      </c>
      <c r="H241" s="102"/>
      <c r="I241" s="102"/>
      <c r="J241" s="103">
        <f t="shared" si="1"/>
        <v>-19744.14403</v>
      </c>
    </row>
  </sheetData>
  <mergeCells count="75">
    <mergeCell ref="B32:B43"/>
    <mergeCell ref="B44:B55"/>
    <mergeCell ref="B57:C57"/>
    <mergeCell ref="D57:D58"/>
    <mergeCell ref="F57:G57"/>
    <mergeCell ref="J57:K57"/>
    <mergeCell ref="L57:L58"/>
    <mergeCell ref="B59:B70"/>
    <mergeCell ref="B71:B82"/>
    <mergeCell ref="B84:C84"/>
    <mergeCell ref="D84:D85"/>
    <mergeCell ref="F84:G84"/>
    <mergeCell ref="J84:K84"/>
    <mergeCell ref="L84:L85"/>
    <mergeCell ref="B113:B124"/>
    <mergeCell ref="B125:B136"/>
    <mergeCell ref="B86:B97"/>
    <mergeCell ref="B98:B109"/>
    <mergeCell ref="B111:C111"/>
    <mergeCell ref="D111:D112"/>
    <mergeCell ref="F111:G111"/>
    <mergeCell ref="J111:K111"/>
    <mergeCell ref="L111:L112"/>
    <mergeCell ref="B2:C2"/>
    <mergeCell ref="D2:D3"/>
    <mergeCell ref="F2:G2"/>
    <mergeCell ref="J2:K2"/>
    <mergeCell ref="L2:L3"/>
    <mergeCell ref="N2:Q2"/>
    <mergeCell ref="R2:R3"/>
    <mergeCell ref="N30:Q30"/>
    <mergeCell ref="R30:R31"/>
    <mergeCell ref="S30:S31"/>
    <mergeCell ref="T30:T31"/>
    <mergeCell ref="U30:U31"/>
    <mergeCell ref="V30:V31"/>
    <mergeCell ref="B5:B16"/>
    <mergeCell ref="B17:B28"/>
    <mergeCell ref="B30:C30"/>
    <mergeCell ref="D30:D31"/>
    <mergeCell ref="F30:G30"/>
    <mergeCell ref="J30:K30"/>
    <mergeCell ref="L30:L31"/>
    <mergeCell ref="N57:Q57"/>
    <mergeCell ref="R57:R58"/>
    <mergeCell ref="S57:S58"/>
    <mergeCell ref="T57:T58"/>
    <mergeCell ref="U57:U58"/>
    <mergeCell ref="V57:V58"/>
    <mergeCell ref="V44:V55"/>
    <mergeCell ref="V59:V70"/>
    <mergeCell ref="V71:V82"/>
    <mergeCell ref="V86:V97"/>
    <mergeCell ref="V98:V109"/>
    <mergeCell ref="V113:V124"/>
    <mergeCell ref="V125:V136"/>
    <mergeCell ref="S2:S3"/>
    <mergeCell ref="T2:T3"/>
    <mergeCell ref="U2:U3"/>
    <mergeCell ref="V2:V3"/>
    <mergeCell ref="V5:V16"/>
    <mergeCell ref="V17:V28"/>
    <mergeCell ref="V32:V43"/>
    <mergeCell ref="R111:R112"/>
    <mergeCell ref="S111:S112"/>
    <mergeCell ref="T111:T112"/>
    <mergeCell ref="U111:U112"/>
    <mergeCell ref="V111:V112"/>
    <mergeCell ref="N84:Q84"/>
    <mergeCell ref="R84:R85"/>
    <mergeCell ref="S84:S85"/>
    <mergeCell ref="T84:T85"/>
    <mergeCell ref="U84:U85"/>
    <mergeCell ref="V84:V85"/>
    <mergeCell ref="N111:Q111"/>
  </mergeCells>
  <printOptions gridLines="1" horizontalCentered="1"/>
  <pageMargins bottom="0.75" footer="0.0" header="0.0" left="0.25" right="0.25" top="0.75"/>
  <pageSetup fitToHeight="0" paperSize="9" cellComments="atEnd" orientation="landscape" pageOrder="overThenDown"/>
  <drawing r:id="rId1"/>
</worksheet>
</file>