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Rodri\Desktop\Rodri\UTN FRCU\PROYECTO FINAL\"/>
    </mc:Choice>
  </mc:AlternateContent>
  <xr:revisionPtr revIDLastSave="0" documentId="13_ncr:1_{85843F94-754C-4EA8-BC56-ACB4DD246979}" xr6:coauthVersionLast="45" xr6:coauthVersionMax="45" xr10:uidLastSave="{00000000-0000-0000-0000-000000000000}"/>
  <bookViews>
    <workbookView xWindow="-108" yWindow="-108" windowWidth="23256" windowHeight="12576" firstSheet="10" activeTab="15" xr2:uid="{00000000-000D-0000-FFFF-FFFF00000000}"/>
  </bookViews>
  <sheets>
    <sheet name="Mercado" sheetId="1" r:id="rId1"/>
    <sheet name="Producto" sheetId="2" r:id="rId2"/>
    <sheet name="Localización" sheetId="3" r:id="rId3"/>
    <sheet name="Producción" sheetId="4" r:id="rId4"/>
    <sheet name="Planificador de proyectos" sheetId="5" r:id="rId5"/>
    <sheet name="Tabla de procesos" sheetId="9" r:id="rId6"/>
    <sheet name="Plan de Producción" sheetId="7" r:id="rId7"/>
    <sheet name="Procedimiento Principal" sheetId="10" r:id="rId8"/>
    <sheet name="Planilla de inspección" sheetId="11" r:id="rId9"/>
    <sheet name="Inversiones" sheetId="12" r:id="rId10"/>
    <sheet name="Costos MP" sheetId="13" r:id="rId11"/>
    <sheet name="Costos Energía" sheetId="14" r:id="rId12"/>
    <sheet name="Costo Salarial" sheetId="15" r:id="rId13"/>
    <sheet name="Costos Totales" sheetId="16" r:id="rId14"/>
    <sheet name="Punto de Equilibrio" sheetId="17" r:id="rId15"/>
    <sheet name="Unidades de Negocio" sheetId="19" r:id="rId16"/>
    <sheet name="Estudio Financiero" sheetId="18" r:id="rId17"/>
  </sheets>
  <definedNames>
    <definedName name="ActualBeyond">PeriodInActual*('Planificador de proyectos'!#REF!&gt;0)</definedName>
    <definedName name="PercentComplete">PercentCompleteBeyond*PeriodInPlan</definedName>
    <definedName name="PercentCompleteBeyond">('Planificador de proyectos'!A$4=MEDIAN('Planificador de proyectos'!A$4,'Planificador de proyectos'!#REF!,'Planificador de proyectos'!#REF!+'Planificador de proyectos'!#REF!)*('Planificador de proyectos'!#REF!&gt;0))*(('Planificador de proyectos'!A$4&lt;(INT('Planificador de proyectos'!#REF!+'Planificador de proyectos'!#REF!*'Planificador de proyectos'!$E1)))+('Planificador de proyectos'!A$4='Planificador de proyectos'!#REF!))*('Planificador de proyectos'!$E1&gt;0)</definedName>
    <definedName name="period_selected">'Planificador de proyectos'!$F$2</definedName>
    <definedName name="PeriodInActual">'Planificador de proyectos'!A$4=MEDIAN('Planificador de proyectos'!A$4,'Planificador de proyectos'!#REF!,'Planificador de proyectos'!#REF!+'Planificador de proyectos'!#REF!-1)</definedName>
    <definedName name="PeriodInPlan">'Planificador de proyectos'!A$4=MEDIAN('Planificador de proyectos'!A$4,'Planificador de proyectos'!$C1,'Planificador de proyectos'!$C1+'Planificador de proyectos'!$D1-1)</definedName>
    <definedName name="Plan">PeriodInPlan*('Planificador de proyectos'!$C1&gt;0)</definedName>
    <definedName name="Real">(PeriodInActual*('Planificador de proyectos'!#REF!&gt;0))*PeriodInPlan</definedName>
    <definedName name="TitleRegion..BO60">'Planificador de proyectos'!$B$3:$B$4</definedName>
    <definedName name="_xlnm.Print_Titles" localSheetId="4">'Planificador de proyectos'!$3:$4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18" roundtripDataSignature="AMtx7miZ/9YvX9P0oJaGpxXOPKvX53jD5Q=="/>
    </ext>
  </extLst>
</workbook>
</file>

<file path=xl/calcChain.xml><?xml version="1.0" encoding="utf-8"?>
<calcChain xmlns="http://schemas.openxmlformats.org/spreadsheetml/2006/main">
  <c r="N7" i="17" l="1"/>
  <c r="N5" i="17"/>
  <c r="F50" i="18"/>
  <c r="G50" i="18" s="1"/>
  <c r="H50" i="18" s="1"/>
  <c r="I50" i="18" s="1"/>
  <c r="J50" i="18" s="1"/>
  <c r="K50" i="18" s="1"/>
  <c r="L50" i="18" s="1"/>
  <c r="M50" i="18" s="1"/>
  <c r="E50" i="18"/>
  <c r="F48" i="18"/>
  <c r="G48" i="18"/>
  <c r="H48" i="18"/>
  <c r="I48" i="18"/>
  <c r="J48" i="18" s="1"/>
  <c r="K48" i="18" s="1"/>
  <c r="L48" i="18" s="1"/>
  <c r="M48" i="18" s="1"/>
  <c r="E48" i="18"/>
  <c r="F30" i="18"/>
  <c r="G30" i="18" s="1"/>
  <c r="H30" i="18" s="1"/>
  <c r="I30" i="18" s="1"/>
  <c r="J30" i="18" s="1"/>
  <c r="K30" i="18" s="1"/>
  <c r="L30" i="18" s="1"/>
  <c r="M30" i="18" s="1"/>
  <c r="E30" i="18"/>
  <c r="F28" i="18"/>
  <c r="G28" i="18" s="1"/>
  <c r="H28" i="18" s="1"/>
  <c r="I28" i="18" s="1"/>
  <c r="J28" i="18" s="1"/>
  <c r="K28" i="18" s="1"/>
  <c r="L28" i="18" s="1"/>
  <c r="M28" i="18" s="1"/>
  <c r="E28" i="18"/>
  <c r="N9" i="19" l="1"/>
  <c r="G14" i="19"/>
  <c r="H6" i="19" l="1"/>
  <c r="H8" i="19" s="1"/>
  <c r="D4" i="19" s="1"/>
  <c r="G13" i="19" s="1"/>
  <c r="G15" i="19" s="1"/>
  <c r="G16" i="19" s="1"/>
  <c r="H5" i="19"/>
  <c r="L5" i="19"/>
  <c r="D8" i="19" l="1"/>
  <c r="D9" i="19" s="1"/>
  <c r="D29" i="18" l="1"/>
  <c r="E29" i="18" s="1"/>
  <c r="F29" i="18" s="1"/>
  <c r="G29" i="18" s="1"/>
  <c r="H29" i="18" s="1"/>
  <c r="I29" i="18" s="1"/>
  <c r="J29" i="18" s="1"/>
  <c r="K29" i="18" s="1"/>
  <c r="L29" i="18" s="1"/>
  <c r="M29" i="18" s="1"/>
  <c r="M32" i="18" s="1"/>
  <c r="D49" i="18"/>
  <c r="E49" i="18" s="1"/>
  <c r="F49" i="18" s="1"/>
  <c r="G49" i="18" s="1"/>
  <c r="H49" i="18" s="1"/>
  <c r="I49" i="18" s="1"/>
  <c r="J49" i="18" s="1"/>
  <c r="K49" i="18" s="1"/>
  <c r="L49" i="18" s="1"/>
  <c r="M49" i="18" s="1"/>
  <c r="M52" i="18" s="1"/>
  <c r="C58" i="18"/>
  <c r="W20" i="18"/>
  <c r="S21" i="18" s="1"/>
  <c r="Q39" i="18" l="1"/>
  <c r="Q27" i="18"/>
  <c r="R20" i="18"/>
  <c r="R51" i="18"/>
  <c r="R47" i="18"/>
  <c r="R43" i="18"/>
  <c r="R39" i="18"/>
  <c r="R35" i="18"/>
  <c r="R31" i="18"/>
  <c r="R27" i="18"/>
  <c r="S19" i="18"/>
  <c r="S51" i="18"/>
  <c r="S47" i="18"/>
  <c r="S43" i="18"/>
  <c r="S39" i="18"/>
  <c r="S35" i="18"/>
  <c r="S31" i="18"/>
  <c r="S27" i="18"/>
  <c r="S23" i="18"/>
  <c r="Q19" i="18"/>
  <c r="Q47" i="18"/>
  <c r="Q31" i="18"/>
  <c r="Q23" i="18"/>
  <c r="Q54" i="18"/>
  <c r="Q50" i="18"/>
  <c r="Q46" i="18"/>
  <c r="Q42" i="18"/>
  <c r="Q38" i="18"/>
  <c r="Q34" i="18"/>
  <c r="Q30" i="18"/>
  <c r="Q26" i="18"/>
  <c r="Q22" i="18"/>
  <c r="R23" i="18"/>
  <c r="R54" i="18"/>
  <c r="R50" i="18"/>
  <c r="R46" i="18"/>
  <c r="R42" i="18"/>
  <c r="R38" i="18"/>
  <c r="R34" i="18"/>
  <c r="R30" i="18"/>
  <c r="R26" i="18"/>
  <c r="S54" i="18"/>
  <c r="S50" i="18"/>
  <c r="S46" i="18"/>
  <c r="S42" i="18"/>
  <c r="S38" i="18"/>
  <c r="S34" i="18"/>
  <c r="S30" i="18"/>
  <c r="S26" i="18"/>
  <c r="S22" i="18"/>
  <c r="Q51" i="18"/>
  <c r="Q43" i="18"/>
  <c r="Q35" i="18"/>
  <c r="R19" i="18"/>
  <c r="T19" i="18" s="1"/>
  <c r="T20" i="18" s="1"/>
  <c r="Q53" i="18"/>
  <c r="Q49" i="18"/>
  <c r="Q45" i="18"/>
  <c r="Q41" i="18"/>
  <c r="Q37" i="18"/>
  <c r="Q33" i="18"/>
  <c r="Q29" i="18"/>
  <c r="Q25" i="18"/>
  <c r="Q21" i="18"/>
  <c r="R22" i="18"/>
  <c r="R53" i="18"/>
  <c r="R49" i="18"/>
  <c r="R45" i="18"/>
  <c r="R41" i="18"/>
  <c r="R37" i="18"/>
  <c r="R33" i="18"/>
  <c r="R29" i="18"/>
  <c r="R25" i="18"/>
  <c r="S53" i="18"/>
  <c r="S49" i="18"/>
  <c r="S45" i="18"/>
  <c r="S41" i="18"/>
  <c r="S37" i="18"/>
  <c r="S33" i="18"/>
  <c r="S29" i="18"/>
  <c r="S25" i="18"/>
  <c r="S58" i="18"/>
  <c r="S62" i="18"/>
  <c r="S66" i="18"/>
  <c r="S70" i="18"/>
  <c r="S74" i="18"/>
  <c r="S78" i="18"/>
  <c r="R58" i="18"/>
  <c r="R62" i="18"/>
  <c r="R66" i="18"/>
  <c r="R70" i="18"/>
  <c r="R74" i="18"/>
  <c r="R78" i="18"/>
  <c r="Q58" i="18"/>
  <c r="Q62" i="18"/>
  <c r="Q66" i="18"/>
  <c r="Q70" i="18"/>
  <c r="Q74" i="18"/>
  <c r="Q78" i="18"/>
  <c r="S57" i="18"/>
  <c r="S65" i="18"/>
  <c r="S77" i="18"/>
  <c r="R69" i="18"/>
  <c r="Q57" i="18"/>
  <c r="Q73" i="18"/>
  <c r="S55" i="18"/>
  <c r="S59" i="18"/>
  <c r="S63" i="18"/>
  <c r="S67" i="18"/>
  <c r="S71" i="18"/>
  <c r="S75" i="18"/>
  <c r="R55" i="18"/>
  <c r="R59" i="18"/>
  <c r="R63" i="18"/>
  <c r="R67" i="18"/>
  <c r="R71" i="18"/>
  <c r="R75" i="18"/>
  <c r="Q55" i="18"/>
  <c r="Q59" i="18"/>
  <c r="Q63" i="18"/>
  <c r="Q67" i="18"/>
  <c r="Q71" i="18"/>
  <c r="Q75" i="18"/>
  <c r="S61" i="18"/>
  <c r="S73" i="18"/>
  <c r="R57" i="18"/>
  <c r="R65" i="18"/>
  <c r="R77" i="18"/>
  <c r="Q65" i="18"/>
  <c r="Q77" i="18"/>
  <c r="S56" i="18"/>
  <c r="S60" i="18"/>
  <c r="S64" i="18"/>
  <c r="S68" i="18"/>
  <c r="S72" i="18"/>
  <c r="S76" i="18"/>
  <c r="R56" i="18"/>
  <c r="R60" i="18"/>
  <c r="R64" i="18"/>
  <c r="R68" i="18"/>
  <c r="R72" i="18"/>
  <c r="R76" i="18"/>
  <c r="Q56" i="18"/>
  <c r="Q60" i="18"/>
  <c r="Q64" i="18"/>
  <c r="Q68" i="18"/>
  <c r="Q72" i="18"/>
  <c r="Q76" i="18"/>
  <c r="S69" i="18"/>
  <c r="R61" i="18"/>
  <c r="R73" i="18"/>
  <c r="Q61" i="18"/>
  <c r="Q69" i="18"/>
  <c r="Q52" i="18"/>
  <c r="Q48" i="18"/>
  <c r="Q44" i="18"/>
  <c r="Q40" i="18"/>
  <c r="Q36" i="18"/>
  <c r="Q32" i="18"/>
  <c r="Q28" i="18"/>
  <c r="Q24" i="18"/>
  <c r="Q20" i="18"/>
  <c r="R21" i="18"/>
  <c r="R52" i="18"/>
  <c r="R48" i="18"/>
  <c r="R44" i="18"/>
  <c r="F59" i="18" s="1"/>
  <c r="R40" i="18"/>
  <c r="R36" i="18"/>
  <c r="R32" i="18"/>
  <c r="R28" i="18"/>
  <c r="R24" i="18"/>
  <c r="S52" i="18"/>
  <c r="S48" i="18"/>
  <c r="S44" i="18"/>
  <c r="F51" i="18" s="1"/>
  <c r="S40" i="18"/>
  <c r="E51" i="18" s="1"/>
  <c r="S36" i="18"/>
  <c r="S32" i="18"/>
  <c r="S28" i="18"/>
  <c r="S24" i="18"/>
  <c r="D51" i="18" s="1"/>
  <c r="S20" i="18"/>
  <c r="D59" i="18"/>
  <c r="E59" i="18"/>
  <c r="H51" i="18" l="1"/>
  <c r="G59" i="18"/>
  <c r="H59" i="18"/>
  <c r="T21" i="18"/>
  <c r="T22" i="18" s="1"/>
  <c r="T23" i="18" s="1"/>
  <c r="T24" i="18" s="1"/>
  <c r="T25" i="18" s="1"/>
  <c r="T26" i="18" s="1"/>
  <c r="T27" i="18" s="1"/>
  <c r="T28" i="18" s="1"/>
  <c r="T29" i="18" s="1"/>
  <c r="T30" i="18" s="1"/>
  <c r="T31" i="18" s="1"/>
  <c r="T32" i="18" s="1"/>
  <c r="T33" i="18" s="1"/>
  <c r="T34" i="18" s="1"/>
  <c r="T35" i="18" s="1"/>
  <c r="T36" i="18" s="1"/>
  <c r="T37" i="18" s="1"/>
  <c r="T38" i="18" s="1"/>
  <c r="T39" i="18" s="1"/>
  <c r="T40" i="18" s="1"/>
  <c r="T41" i="18" s="1"/>
  <c r="T42" i="18" s="1"/>
  <c r="T43" i="18" s="1"/>
  <c r="T44" i="18" s="1"/>
  <c r="T45" i="18" s="1"/>
  <c r="T46" i="18" s="1"/>
  <c r="T47" i="18" s="1"/>
  <c r="T48" i="18" s="1"/>
  <c r="T49" i="18" s="1"/>
  <c r="T50" i="18" s="1"/>
  <c r="T51" i="18" s="1"/>
  <c r="T52" i="18" s="1"/>
  <c r="T53" i="18" s="1"/>
  <c r="T54" i="18" s="1"/>
  <c r="T55" i="18" s="1"/>
  <c r="T56" i="18" s="1"/>
  <c r="T57" i="18" s="1"/>
  <c r="T58" i="18" s="1"/>
  <c r="T59" i="18" s="1"/>
  <c r="T60" i="18" s="1"/>
  <c r="T61" i="18" s="1"/>
  <c r="T62" i="18" s="1"/>
  <c r="T63" i="18" s="1"/>
  <c r="T64" i="18" s="1"/>
  <c r="T65" i="18" s="1"/>
  <c r="T66" i="18" s="1"/>
  <c r="T67" i="18" s="1"/>
  <c r="T68" i="18" s="1"/>
  <c r="T69" i="18" s="1"/>
  <c r="T70" i="18" s="1"/>
  <c r="T71" i="18" s="1"/>
  <c r="T72" i="18" s="1"/>
  <c r="T73" i="18" s="1"/>
  <c r="T74" i="18" s="1"/>
  <c r="T75" i="18" s="1"/>
  <c r="T76" i="18" s="1"/>
  <c r="T77" i="18" s="1"/>
  <c r="T78" i="18" s="1"/>
  <c r="G51" i="18"/>
  <c r="D82" i="7" l="1"/>
  <c r="D83" i="7"/>
  <c r="D84" i="7"/>
  <c r="D85" i="7"/>
  <c r="D86" i="7"/>
  <c r="D81" i="7"/>
  <c r="D80" i="7"/>
  <c r="D79" i="7"/>
  <c r="D78" i="7"/>
  <c r="D77" i="7"/>
  <c r="D76" i="7"/>
  <c r="D73" i="7"/>
  <c r="D74" i="7"/>
  <c r="D75" i="7"/>
  <c r="D72" i="7"/>
  <c r="D66" i="7"/>
  <c r="D67" i="7"/>
  <c r="D68" i="7"/>
  <c r="D69" i="7"/>
  <c r="D70" i="7"/>
  <c r="D71" i="7"/>
  <c r="D65" i="7"/>
  <c r="D56" i="7"/>
  <c r="D57" i="7"/>
  <c r="D58" i="7"/>
  <c r="D59" i="7"/>
  <c r="D60" i="7"/>
  <c r="D61" i="7"/>
  <c r="D62" i="7"/>
  <c r="D63" i="7"/>
  <c r="D64" i="7"/>
  <c r="D55" i="7"/>
  <c r="D51" i="7"/>
  <c r="D52" i="7"/>
  <c r="D53" i="7"/>
  <c r="D54" i="7"/>
  <c r="D50" i="7"/>
  <c r="D43" i="7" l="1"/>
  <c r="D44" i="7"/>
  <c r="D45" i="7"/>
  <c r="D46" i="7"/>
  <c r="D47" i="7"/>
  <c r="D48" i="7"/>
  <c r="D49" i="7"/>
  <c r="D42" i="7"/>
  <c r="D27" i="7"/>
  <c r="D28" i="7"/>
  <c r="D29" i="7"/>
  <c r="D30" i="7"/>
  <c r="D31" i="7"/>
  <c r="D32" i="7"/>
  <c r="D34" i="7"/>
  <c r="D35" i="7"/>
  <c r="D36" i="7"/>
  <c r="D37" i="7"/>
  <c r="D38" i="7"/>
  <c r="D39" i="7"/>
  <c r="D40" i="7"/>
  <c r="D41" i="7"/>
  <c r="D26" i="7"/>
  <c r="D19" i="7"/>
  <c r="D20" i="7"/>
  <c r="D21" i="7"/>
  <c r="D22" i="7"/>
  <c r="D23" i="7"/>
  <c r="D24" i="7"/>
  <c r="D25" i="7"/>
  <c r="D18" i="7"/>
  <c r="D15" i="7"/>
  <c r="D16" i="7"/>
  <c r="D17" i="7"/>
  <c r="D14" i="7"/>
  <c r="D13" i="7"/>
  <c r="D6" i="7"/>
  <c r="D7" i="7"/>
  <c r="D8" i="7"/>
  <c r="D9" i="7"/>
  <c r="D10" i="7"/>
  <c r="D11" i="7"/>
  <c r="D12" i="7"/>
  <c r="D5" i="7"/>
  <c r="D3" i="7"/>
  <c r="D4" i="7"/>
  <c r="D2" i="7"/>
  <c r="E4" i="18"/>
  <c r="E5" i="18"/>
  <c r="E6" i="18"/>
  <c r="E7" i="18"/>
  <c r="E3" i="18"/>
  <c r="D8" i="18"/>
  <c r="D87" i="7" l="1"/>
  <c r="C19" i="18" s="1"/>
  <c r="C27" i="17"/>
  <c r="C18" i="17" l="1"/>
  <c r="E9" i="17"/>
  <c r="O6" i="16" l="1"/>
  <c r="L6" i="16"/>
  <c r="M6" i="16"/>
  <c r="N6" i="16"/>
  <c r="K6" i="16"/>
  <c r="F8" i="16"/>
  <c r="E8" i="16"/>
  <c r="C50" i="14"/>
  <c r="D51" i="14"/>
  <c r="H53" i="14"/>
  <c r="W19" i="13"/>
  <c r="W20" i="13"/>
  <c r="W21" i="13"/>
  <c r="W18" i="13"/>
  <c r="X18" i="13" s="1"/>
  <c r="R19" i="13"/>
  <c r="R20" i="13"/>
  <c r="R21" i="13"/>
  <c r="R18" i="13"/>
  <c r="S18" i="13" s="1"/>
  <c r="M19" i="13"/>
  <c r="M20" i="13"/>
  <c r="M21" i="13"/>
  <c r="M18" i="13"/>
  <c r="N18" i="13" s="1"/>
  <c r="H19" i="13"/>
  <c r="H20" i="13"/>
  <c r="H21" i="13"/>
  <c r="H18" i="13"/>
  <c r="I18" i="13" s="1"/>
  <c r="X19" i="13"/>
  <c r="X20" i="13"/>
  <c r="X21" i="13"/>
  <c r="S19" i="13"/>
  <c r="S20" i="13"/>
  <c r="S21" i="13"/>
  <c r="N19" i="13"/>
  <c r="N20" i="13"/>
  <c r="N21" i="13"/>
  <c r="I19" i="13"/>
  <c r="I20" i="13"/>
  <c r="I21" i="13"/>
  <c r="C18" i="13"/>
  <c r="D18" i="13" s="1"/>
  <c r="C19" i="13"/>
  <c r="D19" i="13" s="1"/>
  <c r="C20" i="13"/>
  <c r="D20" i="13" s="1"/>
  <c r="C21" i="13"/>
  <c r="D21" i="13" s="1"/>
  <c r="C52" i="14" l="1"/>
  <c r="C53" i="14" s="1"/>
  <c r="B19" i="13"/>
  <c r="B20" i="13"/>
  <c r="B21" i="13"/>
  <c r="B18" i="13"/>
  <c r="F15" i="7"/>
  <c r="H15" i="7" s="1"/>
  <c r="I15" i="7" s="1"/>
  <c r="F16" i="7"/>
  <c r="H16" i="7" s="1"/>
  <c r="I16" i="7" s="1"/>
  <c r="F17" i="7"/>
  <c r="H17" i="7" s="1"/>
  <c r="I17" i="7" s="1"/>
  <c r="F14" i="7"/>
  <c r="H14" i="7" s="1"/>
  <c r="I14" i="7" s="1"/>
  <c r="V21" i="2"/>
  <c r="V20" i="2"/>
  <c r="V19" i="2"/>
  <c r="V18" i="2"/>
  <c r="Q21" i="2"/>
  <c r="Q20" i="2"/>
  <c r="Q19" i="2"/>
  <c r="Q18" i="2"/>
  <c r="L21" i="2"/>
  <c r="L20" i="2"/>
  <c r="L19" i="2"/>
  <c r="L18" i="2"/>
  <c r="G21" i="2"/>
  <c r="G20" i="2"/>
  <c r="G19" i="2"/>
  <c r="G18" i="2"/>
  <c r="B19" i="2"/>
  <c r="B20" i="2"/>
  <c r="B21" i="2"/>
  <c r="B18" i="2"/>
  <c r="V161" i="2"/>
  <c r="V160" i="2"/>
  <c r="V158" i="2"/>
  <c r="V159" i="2" s="1"/>
  <c r="Q161" i="2"/>
  <c r="Q160" i="2"/>
  <c r="Q158" i="2"/>
  <c r="Q159" i="2" s="1"/>
  <c r="L161" i="2"/>
  <c r="L160" i="2"/>
  <c r="L158" i="2"/>
  <c r="L159" i="2" s="1"/>
  <c r="G161" i="2"/>
  <c r="G160" i="2"/>
  <c r="G158" i="2"/>
  <c r="G159" i="2" s="1"/>
  <c r="B161" i="2"/>
  <c r="B160" i="2"/>
  <c r="B158" i="2"/>
  <c r="B159" i="2" s="1"/>
  <c r="F86" i="7" l="1"/>
  <c r="F73" i="7"/>
  <c r="H73" i="7" s="1"/>
  <c r="I73" i="7" s="1"/>
  <c r="F74" i="7"/>
  <c r="H74" i="7" s="1"/>
  <c r="I74" i="7" s="1"/>
  <c r="F75" i="7"/>
  <c r="H75" i="7" s="1"/>
  <c r="I75" i="7" s="1"/>
  <c r="F72" i="7"/>
  <c r="H72" i="7" s="1"/>
  <c r="I72" i="7" s="1"/>
  <c r="E73" i="7"/>
  <c r="F69" i="7"/>
  <c r="H69" i="7" s="1"/>
  <c r="I69" i="7" s="1"/>
  <c r="F63" i="7"/>
  <c r="H63" i="7" s="1"/>
  <c r="I63" i="7" s="1"/>
  <c r="G8" i="1"/>
  <c r="C11" i="1" l="1"/>
  <c r="F29" i="16"/>
  <c r="F28" i="16"/>
  <c r="F35" i="16" l="1"/>
  <c r="F23" i="16"/>
  <c r="F48" i="16" l="1"/>
  <c r="E15" i="16" s="1"/>
  <c r="I3" i="15" l="1"/>
  <c r="C15" i="15"/>
  <c r="G5" i="15"/>
  <c r="I5" i="15" s="1"/>
  <c r="G6" i="15"/>
  <c r="I6" i="15" s="1"/>
  <c r="G7" i="15"/>
  <c r="I7" i="15" s="1"/>
  <c r="G8" i="15"/>
  <c r="I8" i="15" s="1"/>
  <c r="G9" i="15"/>
  <c r="I9" i="15" s="1"/>
  <c r="G10" i="15"/>
  <c r="I10" i="15" s="1"/>
  <c r="G11" i="15"/>
  <c r="I11" i="15" s="1"/>
  <c r="G12" i="15"/>
  <c r="I12" i="15" s="1"/>
  <c r="G13" i="15"/>
  <c r="I13" i="15" s="1"/>
  <c r="G14" i="15"/>
  <c r="I14" i="15" s="1"/>
  <c r="G4" i="15"/>
  <c r="I4" i="15" s="1"/>
  <c r="B26" i="15"/>
  <c r="B28" i="15" s="1"/>
  <c r="B25" i="15"/>
  <c r="B24" i="15"/>
  <c r="B23" i="15"/>
  <c r="B10" i="15"/>
  <c r="B11" i="15" s="1"/>
  <c r="B12" i="15" s="1"/>
  <c r="K13" i="15" l="1"/>
  <c r="H7" i="15"/>
  <c r="K7" i="15" s="1"/>
  <c r="H13" i="15"/>
  <c r="H5" i="15"/>
  <c r="K5" i="15" s="1"/>
  <c r="H9" i="15"/>
  <c r="K9" i="15" s="1"/>
  <c r="H12" i="15"/>
  <c r="K12" i="15" s="1"/>
  <c r="H8" i="15"/>
  <c r="K8" i="15" s="1"/>
  <c r="E13" i="16" s="1"/>
  <c r="H4" i="15"/>
  <c r="K4" i="15" s="1"/>
  <c r="H3" i="15"/>
  <c r="K3" i="15" s="1"/>
  <c r="E12" i="16" s="1"/>
  <c r="H11" i="15"/>
  <c r="K11" i="15" s="1"/>
  <c r="H14" i="15"/>
  <c r="K14" i="15" s="1"/>
  <c r="H10" i="15"/>
  <c r="K10" i="15" s="1"/>
  <c r="H6" i="15"/>
  <c r="K6" i="15" s="1"/>
  <c r="E25" i="16" s="1"/>
  <c r="B13" i="15"/>
  <c r="S13" i="12"/>
  <c r="T13" i="12" s="1"/>
  <c r="T10" i="12"/>
  <c r="T11" i="12"/>
  <c r="T12" i="12"/>
  <c r="T9" i="12"/>
  <c r="E4" i="16" l="1"/>
  <c r="K15" i="15"/>
  <c r="T14" i="12"/>
  <c r="D5" i="12" s="1"/>
  <c r="E5" i="12" s="1"/>
  <c r="D10" i="14"/>
  <c r="F10" i="14" s="1"/>
  <c r="H10" i="14" s="1"/>
  <c r="E6" i="12"/>
  <c r="G6" i="12" s="1"/>
  <c r="E7" i="12"/>
  <c r="G7" i="12" s="1"/>
  <c r="E8" i="12"/>
  <c r="G8" i="12" s="1"/>
  <c r="G5" i="12" l="1"/>
  <c r="D8" i="14"/>
  <c r="F8" i="14" s="1"/>
  <c r="D39" i="14"/>
  <c r="F39" i="14" s="1"/>
  <c r="D38" i="14"/>
  <c r="F38" i="14" s="1"/>
  <c r="D37" i="14"/>
  <c r="F37" i="14" s="1"/>
  <c r="D3" i="14"/>
  <c r="F3" i="14" s="1"/>
  <c r="D4" i="14"/>
  <c r="F4" i="14" s="1"/>
  <c r="D5" i="14"/>
  <c r="D6" i="14"/>
  <c r="F6" i="14" s="1"/>
  <c r="D7" i="14"/>
  <c r="F7" i="14" s="1"/>
  <c r="D9" i="14"/>
  <c r="F9" i="14" s="1"/>
  <c r="D11" i="14"/>
  <c r="F11" i="14" s="1"/>
  <c r="D12" i="14"/>
  <c r="F12" i="14" s="1"/>
  <c r="D13" i="14"/>
  <c r="F13" i="14" s="1"/>
  <c r="D14" i="14"/>
  <c r="F14" i="14" s="1"/>
  <c r="D15" i="14"/>
  <c r="F15" i="14" s="1"/>
  <c r="D16" i="14"/>
  <c r="D17" i="14"/>
  <c r="F17" i="14" s="1"/>
  <c r="D18" i="14"/>
  <c r="F18" i="14" s="1"/>
  <c r="D19" i="14"/>
  <c r="F19" i="14" s="1"/>
  <c r="D20" i="14"/>
  <c r="F20" i="14" s="1"/>
  <c r="D21" i="14"/>
  <c r="F21" i="14" s="1"/>
  <c r="D22" i="14"/>
  <c r="F22" i="14" s="1"/>
  <c r="D23" i="14"/>
  <c r="F23" i="14" s="1"/>
  <c r="D24" i="14"/>
  <c r="F24" i="14" s="1"/>
  <c r="D25" i="14"/>
  <c r="F25" i="14" s="1"/>
  <c r="D26" i="14"/>
  <c r="F26" i="14" s="1"/>
  <c r="D27" i="14"/>
  <c r="F27" i="14" s="1"/>
  <c r="D28" i="14"/>
  <c r="F28" i="14" s="1"/>
  <c r="D29" i="14"/>
  <c r="F29" i="14" s="1"/>
  <c r="D30" i="14"/>
  <c r="F30" i="14" s="1"/>
  <c r="D31" i="14"/>
  <c r="F31" i="14" s="1"/>
  <c r="D32" i="14"/>
  <c r="F32" i="14" s="1"/>
  <c r="D33" i="14"/>
  <c r="F33" i="14" s="1"/>
  <c r="D34" i="14"/>
  <c r="F34" i="14" s="1"/>
  <c r="D35" i="14"/>
  <c r="F35" i="14" s="1"/>
  <c r="D36" i="14"/>
  <c r="F36" i="14" s="1"/>
  <c r="D2" i="14"/>
  <c r="F2" i="14" s="1"/>
  <c r="F16" i="14" l="1"/>
  <c r="F40" i="14" s="1"/>
  <c r="C44" i="14" s="1"/>
  <c r="D40" i="14"/>
  <c r="H8" i="14"/>
  <c r="H31" i="14"/>
  <c r="H27" i="14"/>
  <c r="H23" i="14"/>
  <c r="H19" i="14"/>
  <c r="H15" i="14"/>
  <c r="H3" i="14"/>
  <c r="H39" i="14"/>
  <c r="H2" i="14"/>
  <c r="H34" i="14"/>
  <c r="H30" i="14"/>
  <c r="H26" i="14"/>
  <c r="H22" i="14"/>
  <c r="H18" i="14"/>
  <c r="H14" i="14"/>
  <c r="H36" i="14"/>
  <c r="H33" i="14"/>
  <c r="H29" i="14"/>
  <c r="H25" i="14"/>
  <c r="H21" i="14"/>
  <c r="H17" i="14"/>
  <c r="H13" i="14"/>
  <c r="H35" i="14"/>
  <c r="H32" i="14"/>
  <c r="H28" i="14"/>
  <c r="H24" i="14"/>
  <c r="H20" i="14"/>
  <c r="H16" i="14"/>
  <c r="H38" i="14"/>
  <c r="H4" i="14"/>
  <c r="H37" i="14"/>
  <c r="H12" i="14"/>
  <c r="H11" i="14"/>
  <c r="H9" i="14"/>
  <c r="H6" i="14"/>
  <c r="F5" i="14"/>
  <c r="H7" i="14"/>
  <c r="AD84" i="13"/>
  <c r="AM84" i="13" s="1"/>
  <c r="E79" i="13" s="1"/>
  <c r="C79" i="13" s="1"/>
  <c r="N79" i="13" s="1"/>
  <c r="AC84" i="13"/>
  <c r="AC80" i="13"/>
  <c r="AD80" i="13" s="1"/>
  <c r="AC83" i="13"/>
  <c r="AC81" i="13"/>
  <c r="AD81" i="13" s="1"/>
  <c r="AC82" i="13"/>
  <c r="AD82" i="13" s="1"/>
  <c r="AM82" i="13" s="1"/>
  <c r="E85" i="13" s="1"/>
  <c r="C85" i="13" s="1"/>
  <c r="AD83" i="13"/>
  <c r="AD79" i="13"/>
  <c r="AF80" i="13"/>
  <c r="AF81" i="13"/>
  <c r="AF82" i="13"/>
  <c r="AF83" i="13"/>
  <c r="AF79" i="13"/>
  <c r="AH80" i="13"/>
  <c r="AH81" i="13"/>
  <c r="AH82" i="13"/>
  <c r="AH83" i="13"/>
  <c r="AH79" i="13"/>
  <c r="AJ80" i="13"/>
  <c r="AJ81" i="13"/>
  <c r="AJ82" i="13"/>
  <c r="AJ83" i="13"/>
  <c r="AJ79" i="13"/>
  <c r="AL80" i="13"/>
  <c r="AL81" i="13"/>
  <c r="AL82" i="13"/>
  <c r="AL83" i="13"/>
  <c r="AL79" i="13"/>
  <c r="AC79" i="13"/>
  <c r="AC78" i="13"/>
  <c r="AL78" i="13"/>
  <c r="AJ78" i="13"/>
  <c r="AH78" i="13"/>
  <c r="AF78" i="13"/>
  <c r="AF77" i="13"/>
  <c r="AD78" i="13"/>
  <c r="AC77" i="13"/>
  <c r="AL77" i="13"/>
  <c r="AL76" i="13"/>
  <c r="AJ77" i="13"/>
  <c r="AJ76" i="13"/>
  <c r="AH77" i="13"/>
  <c r="AH76" i="13"/>
  <c r="AF76" i="13"/>
  <c r="AC76" i="13"/>
  <c r="AD76" i="13"/>
  <c r="AD77" i="13"/>
  <c r="H40" i="14" l="1"/>
  <c r="D45" i="14" s="1"/>
  <c r="F7" i="16" s="1"/>
  <c r="M5" i="16" s="1"/>
  <c r="E7" i="16"/>
  <c r="C46" i="14"/>
  <c r="D85" i="13"/>
  <c r="X85" i="13"/>
  <c r="S85" i="13"/>
  <c r="N85" i="13"/>
  <c r="I85" i="13"/>
  <c r="H5" i="14"/>
  <c r="S79" i="13"/>
  <c r="D79" i="13"/>
  <c r="X79" i="13"/>
  <c r="I79" i="13"/>
  <c r="AM83" i="13"/>
  <c r="E86" i="13" s="1"/>
  <c r="C86" i="13" s="1"/>
  <c r="AM80" i="13"/>
  <c r="E83" i="13" s="1"/>
  <c r="C83" i="13" s="1"/>
  <c r="AM81" i="13"/>
  <c r="E84" i="13" s="1"/>
  <c r="C84" i="13" s="1"/>
  <c r="AM79" i="13"/>
  <c r="AM78" i="13"/>
  <c r="AM76" i="13"/>
  <c r="E75" i="13" s="1"/>
  <c r="C75" i="13" s="1"/>
  <c r="AM77" i="13"/>
  <c r="E76" i="13" s="1"/>
  <c r="C76" i="13" s="1"/>
  <c r="C93" i="13"/>
  <c r="C10" i="13"/>
  <c r="C11" i="13"/>
  <c r="C12" i="13"/>
  <c r="C13" i="13"/>
  <c r="C14" i="13"/>
  <c r="C15" i="13"/>
  <c r="C16" i="13"/>
  <c r="C17" i="13"/>
  <c r="C22" i="13"/>
  <c r="C23" i="13"/>
  <c r="C24" i="13"/>
  <c r="C25" i="13"/>
  <c r="C26" i="13"/>
  <c r="C27" i="13"/>
  <c r="C28" i="13"/>
  <c r="C29" i="13"/>
  <c r="C30" i="13"/>
  <c r="C32" i="13"/>
  <c r="C33" i="13"/>
  <c r="C34" i="13"/>
  <c r="C35" i="13"/>
  <c r="C36" i="13"/>
  <c r="C37" i="13"/>
  <c r="C38" i="13"/>
  <c r="C39" i="13"/>
  <c r="D33" i="7" s="1"/>
  <c r="C40" i="13"/>
  <c r="C41" i="13"/>
  <c r="C42" i="13"/>
  <c r="C43" i="13"/>
  <c r="C44" i="13"/>
  <c r="C45" i="13"/>
  <c r="C46" i="13"/>
  <c r="C47" i="13"/>
  <c r="C49" i="13"/>
  <c r="C50" i="13"/>
  <c r="C51" i="13"/>
  <c r="C52" i="13"/>
  <c r="C53" i="13"/>
  <c r="C54" i="13"/>
  <c r="C55" i="13"/>
  <c r="C56" i="13"/>
  <c r="C58" i="13"/>
  <c r="C59" i="13"/>
  <c r="C60" i="13"/>
  <c r="C61" i="13"/>
  <c r="C62" i="13"/>
  <c r="C64" i="13"/>
  <c r="C65" i="13"/>
  <c r="C66" i="13"/>
  <c r="C67" i="13"/>
  <c r="C68" i="13"/>
  <c r="C69" i="13"/>
  <c r="C70" i="13"/>
  <c r="C71" i="13"/>
  <c r="C73" i="13"/>
  <c r="C77" i="13"/>
  <c r="C78" i="13"/>
  <c r="C80" i="13"/>
  <c r="C81" i="13"/>
  <c r="C88" i="13"/>
  <c r="C89" i="13"/>
  <c r="C91" i="13"/>
  <c r="C94" i="13"/>
  <c r="C96" i="13"/>
  <c r="C97" i="13"/>
  <c r="C98" i="13"/>
  <c r="C99" i="13"/>
  <c r="C100" i="13"/>
  <c r="C101" i="13"/>
  <c r="C7" i="13"/>
  <c r="C8" i="13"/>
  <c r="C6" i="13"/>
  <c r="L5" i="16" l="1"/>
  <c r="N5" i="16"/>
  <c r="K5" i="16"/>
  <c r="O5" i="16"/>
  <c r="C47" i="14"/>
  <c r="F41" i="16" a="1"/>
  <c r="F41" i="16" s="1"/>
  <c r="E72" i="13"/>
  <c r="C72" i="13" s="1"/>
  <c r="X72" i="13" s="1"/>
  <c r="D86" i="13"/>
  <c r="N86" i="13"/>
  <c r="X86" i="13"/>
  <c r="S86" i="13"/>
  <c r="I86" i="13"/>
  <c r="D83" i="13"/>
  <c r="X83" i="13"/>
  <c r="S83" i="13"/>
  <c r="N83" i="13"/>
  <c r="I83" i="13"/>
  <c r="D84" i="13"/>
  <c r="X84" i="13"/>
  <c r="S84" i="13"/>
  <c r="N84" i="13"/>
  <c r="I84" i="13"/>
  <c r="D72" i="13"/>
  <c r="S72" i="13"/>
  <c r="X4" i="13"/>
  <c r="X6" i="13"/>
  <c r="X26" i="13"/>
  <c r="X27" i="13"/>
  <c r="X30" i="13"/>
  <c r="X32" i="13"/>
  <c r="X33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9" i="13"/>
  <c r="X50" i="13"/>
  <c r="X51" i="13"/>
  <c r="X52" i="13"/>
  <c r="X53" i="13"/>
  <c r="X54" i="13"/>
  <c r="X55" i="13"/>
  <c r="X56" i="13"/>
  <c r="X64" i="13"/>
  <c r="X65" i="13"/>
  <c r="X66" i="13"/>
  <c r="X67" i="13"/>
  <c r="X68" i="13"/>
  <c r="X69" i="13"/>
  <c r="X70" i="13"/>
  <c r="X71" i="13"/>
  <c r="X73" i="13"/>
  <c r="X75" i="13"/>
  <c r="X76" i="13"/>
  <c r="X77" i="13"/>
  <c r="X78" i="13"/>
  <c r="X80" i="13"/>
  <c r="X81" i="13"/>
  <c r="X88" i="13"/>
  <c r="X89" i="13"/>
  <c r="X91" i="13"/>
  <c r="X93" i="13"/>
  <c r="X94" i="13"/>
  <c r="X96" i="13"/>
  <c r="X97" i="13"/>
  <c r="X98" i="13"/>
  <c r="X99" i="13"/>
  <c r="X100" i="13"/>
  <c r="X101" i="13"/>
  <c r="S4" i="13"/>
  <c r="S26" i="13"/>
  <c r="S27" i="13"/>
  <c r="S30" i="13"/>
  <c r="S32" i="13"/>
  <c r="S33" i="13"/>
  <c r="S35" i="13"/>
  <c r="S36" i="13"/>
  <c r="S37" i="13"/>
  <c r="S38" i="13"/>
  <c r="S39" i="13"/>
  <c r="S40" i="13"/>
  <c r="S41" i="13"/>
  <c r="S42" i="13"/>
  <c r="S43" i="13"/>
  <c r="S44" i="13"/>
  <c r="S45" i="13"/>
  <c r="S46" i="13"/>
  <c r="S47" i="13"/>
  <c r="S49" i="13"/>
  <c r="S50" i="13"/>
  <c r="S51" i="13"/>
  <c r="S52" i="13"/>
  <c r="S53" i="13"/>
  <c r="S54" i="13"/>
  <c r="S55" i="13"/>
  <c r="S56" i="13"/>
  <c r="S64" i="13"/>
  <c r="S65" i="13"/>
  <c r="S66" i="13"/>
  <c r="S67" i="13"/>
  <c r="S68" i="13"/>
  <c r="S69" i="13"/>
  <c r="S70" i="13"/>
  <c r="S71" i="13"/>
  <c r="S73" i="13"/>
  <c r="S75" i="13"/>
  <c r="S76" i="13"/>
  <c r="S77" i="13"/>
  <c r="S78" i="13"/>
  <c r="S80" i="13"/>
  <c r="S81" i="13"/>
  <c r="S88" i="13"/>
  <c r="S89" i="13"/>
  <c r="S91" i="13"/>
  <c r="S93" i="13"/>
  <c r="S94" i="13"/>
  <c r="S96" i="13"/>
  <c r="S97" i="13"/>
  <c r="S98" i="13"/>
  <c r="S99" i="13"/>
  <c r="S100" i="13"/>
  <c r="S101" i="13"/>
  <c r="N4" i="13"/>
  <c r="N26" i="13"/>
  <c r="N27" i="13"/>
  <c r="N30" i="13"/>
  <c r="N32" i="13"/>
  <c r="N33" i="13"/>
  <c r="N35" i="13"/>
  <c r="N36" i="13"/>
  <c r="N37" i="13"/>
  <c r="N38" i="13"/>
  <c r="N39" i="13"/>
  <c r="N40" i="13"/>
  <c r="N41" i="13"/>
  <c r="N42" i="13"/>
  <c r="N43" i="13"/>
  <c r="N44" i="13"/>
  <c r="N45" i="13"/>
  <c r="N46" i="13"/>
  <c r="N47" i="13"/>
  <c r="N49" i="13"/>
  <c r="N50" i="13"/>
  <c r="N51" i="13"/>
  <c r="N52" i="13"/>
  <c r="N53" i="13"/>
  <c r="N54" i="13"/>
  <c r="N55" i="13"/>
  <c r="N56" i="13"/>
  <c r="N64" i="13"/>
  <c r="N65" i="13"/>
  <c r="N66" i="13"/>
  <c r="N67" i="13"/>
  <c r="N68" i="13"/>
  <c r="N69" i="13"/>
  <c r="N70" i="13"/>
  <c r="N71" i="13"/>
  <c r="N73" i="13"/>
  <c r="N75" i="13"/>
  <c r="N76" i="13"/>
  <c r="N77" i="13"/>
  <c r="N78" i="13"/>
  <c r="N80" i="13"/>
  <c r="N81" i="13"/>
  <c r="N88" i="13"/>
  <c r="N89" i="13"/>
  <c r="N91" i="13"/>
  <c r="N93" i="13"/>
  <c r="N94" i="13"/>
  <c r="N96" i="13"/>
  <c r="N97" i="13"/>
  <c r="N98" i="13"/>
  <c r="N99" i="13"/>
  <c r="N100" i="13"/>
  <c r="N101" i="13"/>
  <c r="X3" i="13"/>
  <c r="S3" i="13"/>
  <c r="N3" i="13"/>
  <c r="I49" i="13"/>
  <c r="I50" i="13"/>
  <c r="I51" i="13"/>
  <c r="I52" i="13"/>
  <c r="I53" i="13"/>
  <c r="I54" i="13"/>
  <c r="I55" i="13"/>
  <c r="I56" i="13"/>
  <c r="I64" i="13"/>
  <c r="I65" i="13"/>
  <c r="I66" i="13"/>
  <c r="I67" i="13"/>
  <c r="I68" i="13"/>
  <c r="I69" i="13"/>
  <c r="I70" i="13"/>
  <c r="I71" i="13"/>
  <c r="I73" i="13"/>
  <c r="I75" i="13"/>
  <c r="I76" i="13"/>
  <c r="I77" i="13"/>
  <c r="I78" i="13"/>
  <c r="I80" i="13"/>
  <c r="I81" i="13"/>
  <c r="I88" i="13"/>
  <c r="I89" i="13"/>
  <c r="I91" i="13"/>
  <c r="I93" i="13"/>
  <c r="I94" i="13"/>
  <c r="I96" i="13"/>
  <c r="I97" i="13"/>
  <c r="I98" i="13"/>
  <c r="I99" i="13"/>
  <c r="I100" i="13"/>
  <c r="I101" i="13"/>
  <c r="I33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32" i="13"/>
  <c r="I26" i="13"/>
  <c r="I27" i="13"/>
  <c r="I30" i="13"/>
  <c r="I4" i="13"/>
  <c r="I3" i="13"/>
  <c r="N72" i="13" l="1"/>
  <c r="I72" i="13"/>
  <c r="D97" i="13"/>
  <c r="D98" i="13"/>
  <c r="D99" i="13"/>
  <c r="D100" i="13"/>
  <c r="D101" i="13"/>
  <c r="D96" i="13"/>
  <c r="D94" i="13"/>
  <c r="D93" i="13"/>
  <c r="D91" i="13"/>
  <c r="D89" i="13"/>
  <c r="D88" i="13"/>
  <c r="D76" i="13"/>
  <c r="D77" i="13"/>
  <c r="D78" i="13"/>
  <c r="D80" i="13"/>
  <c r="D81" i="13"/>
  <c r="D75" i="13"/>
  <c r="D65" i="13"/>
  <c r="D66" i="13"/>
  <c r="D67" i="13"/>
  <c r="D68" i="13"/>
  <c r="D69" i="13"/>
  <c r="D70" i="13"/>
  <c r="D71" i="13"/>
  <c r="D73" i="13"/>
  <c r="D64" i="13"/>
  <c r="D60" i="13"/>
  <c r="D61" i="13"/>
  <c r="D62" i="13"/>
  <c r="D50" i="13"/>
  <c r="D51" i="13"/>
  <c r="D52" i="13"/>
  <c r="D53" i="13"/>
  <c r="D54" i="13"/>
  <c r="D55" i="13"/>
  <c r="D56" i="13"/>
  <c r="D49" i="13"/>
  <c r="D33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32" i="13"/>
  <c r="D26" i="13"/>
  <c r="D27" i="13"/>
  <c r="D30" i="13"/>
  <c r="D4" i="13"/>
  <c r="D3" i="13"/>
  <c r="M181" i="13"/>
  <c r="M6" i="13" s="1"/>
  <c r="N6" i="13" s="1"/>
  <c r="J181" i="13"/>
  <c r="J180" i="13"/>
  <c r="J178" i="13"/>
  <c r="H8" i="13" s="1"/>
  <c r="I8" i="13" s="1"/>
  <c r="H178" i="13"/>
  <c r="B8" i="13" s="1"/>
  <c r="D8" i="13" s="1"/>
  <c r="W158" i="13"/>
  <c r="W22" i="13" s="1"/>
  <c r="X22" i="13" s="1"/>
  <c r="R157" i="13"/>
  <c r="R22" i="13" s="1"/>
  <c r="S22" i="13" s="1"/>
  <c r="M157" i="13"/>
  <c r="M22" i="13" s="1"/>
  <c r="N22" i="13" s="1"/>
  <c r="H157" i="13"/>
  <c r="H22" i="13" s="1"/>
  <c r="I22" i="13" s="1"/>
  <c r="B157" i="13"/>
  <c r="B22" i="13" s="1"/>
  <c r="D22" i="13" s="1"/>
  <c r="W157" i="13"/>
  <c r="W62" i="13" s="1"/>
  <c r="X62" i="13" s="1"/>
  <c r="R156" i="13"/>
  <c r="R62" i="13" s="1"/>
  <c r="S62" i="13" s="1"/>
  <c r="M156" i="13"/>
  <c r="H156" i="13"/>
  <c r="B156" i="13"/>
  <c r="W156" i="13"/>
  <c r="W61" i="13" s="1"/>
  <c r="R155" i="13"/>
  <c r="R61" i="13" s="1"/>
  <c r="S61" i="13" s="1"/>
  <c r="M155" i="13"/>
  <c r="M61" i="13" s="1"/>
  <c r="H155" i="13"/>
  <c r="H61" i="13" s="1"/>
  <c r="B155" i="13"/>
  <c r="W152" i="13"/>
  <c r="W25" i="13" s="1"/>
  <c r="X25" i="13" s="1"/>
  <c r="R151" i="13"/>
  <c r="R25" i="13" s="1"/>
  <c r="S25" i="13" s="1"/>
  <c r="M151" i="13"/>
  <c r="M25" i="13" s="1"/>
  <c r="N25" i="13" s="1"/>
  <c r="H151" i="13"/>
  <c r="H25" i="13" s="1"/>
  <c r="I25" i="13" s="1"/>
  <c r="B151" i="13"/>
  <c r="B25" i="13" s="1"/>
  <c r="D25" i="13" s="1"/>
  <c r="W151" i="13"/>
  <c r="W13" i="13" s="1"/>
  <c r="X13" i="13" s="1"/>
  <c r="R150" i="13"/>
  <c r="R13" i="13" s="1"/>
  <c r="S13" i="13" s="1"/>
  <c r="M150" i="13"/>
  <c r="M13" i="13" s="1"/>
  <c r="N13" i="13" s="1"/>
  <c r="R130" i="13"/>
  <c r="R154" i="13" s="1"/>
  <c r="W130" i="13"/>
  <c r="W131" i="13" s="1"/>
  <c r="W155" i="13" s="1"/>
  <c r="W60" i="13" s="1"/>
  <c r="X60" i="13" s="1"/>
  <c r="R129" i="13"/>
  <c r="R153" i="13" s="1"/>
  <c r="R59" i="13" s="1"/>
  <c r="S59" i="13" s="1"/>
  <c r="M129" i="13"/>
  <c r="M153" i="13" s="1"/>
  <c r="M59" i="13" s="1"/>
  <c r="N59" i="13" s="1"/>
  <c r="H129" i="13"/>
  <c r="H153" i="13" s="1"/>
  <c r="H59" i="13" s="1"/>
  <c r="I59" i="13" s="1"/>
  <c r="B129" i="13"/>
  <c r="B130" i="13" s="1"/>
  <c r="B154" i="13" s="1"/>
  <c r="W129" i="13"/>
  <c r="W153" i="13" s="1"/>
  <c r="W58" i="13" s="1"/>
  <c r="X58" i="13" s="1"/>
  <c r="R128" i="13"/>
  <c r="R152" i="13" s="1"/>
  <c r="R58" i="13" s="1"/>
  <c r="S58" i="13" s="1"/>
  <c r="M128" i="13"/>
  <c r="M152" i="13" s="1"/>
  <c r="M58" i="13" s="1"/>
  <c r="N58" i="13" s="1"/>
  <c r="H128" i="13"/>
  <c r="H152" i="13" s="1"/>
  <c r="H58" i="13" s="1"/>
  <c r="I58" i="13" s="1"/>
  <c r="B128" i="13"/>
  <c r="B152" i="13" s="1"/>
  <c r="B58" i="13" s="1"/>
  <c r="D58" i="13" s="1"/>
  <c r="W126" i="13"/>
  <c r="W150" i="13" s="1"/>
  <c r="W24" i="13" s="1"/>
  <c r="X24" i="13" s="1"/>
  <c r="R125" i="13"/>
  <c r="R149" i="13" s="1"/>
  <c r="R24" i="13" s="1"/>
  <c r="S24" i="13" s="1"/>
  <c r="M125" i="13"/>
  <c r="M149" i="13" s="1"/>
  <c r="M24" i="13" s="1"/>
  <c r="N24" i="13" s="1"/>
  <c r="H125" i="13"/>
  <c r="H149" i="13" s="1"/>
  <c r="H24" i="13" s="1"/>
  <c r="I24" i="13" s="1"/>
  <c r="B125" i="13"/>
  <c r="B149" i="13" s="1"/>
  <c r="B24" i="13" s="1"/>
  <c r="D24" i="13" s="1"/>
  <c r="W125" i="13"/>
  <c r="W149" i="13" s="1"/>
  <c r="W12" i="13" s="1"/>
  <c r="X12" i="13" s="1"/>
  <c r="R124" i="13"/>
  <c r="R148" i="13" s="1"/>
  <c r="R12" i="13" s="1"/>
  <c r="S12" i="13" s="1"/>
  <c r="M124" i="13"/>
  <c r="M148" i="13" s="1"/>
  <c r="M12" i="13" s="1"/>
  <c r="N12" i="13" s="1"/>
  <c r="H124" i="13"/>
  <c r="H148" i="13" s="1"/>
  <c r="H12" i="13" s="1"/>
  <c r="I12" i="13" s="1"/>
  <c r="B124" i="13"/>
  <c r="B148" i="13" s="1"/>
  <c r="B12" i="13" s="1"/>
  <c r="D12" i="13" s="1"/>
  <c r="W123" i="13"/>
  <c r="R122" i="13"/>
  <c r="M122" i="13"/>
  <c r="H122" i="13"/>
  <c r="B122" i="13"/>
  <c r="W121" i="13"/>
  <c r="R120" i="13"/>
  <c r="M120" i="13"/>
  <c r="H120" i="13"/>
  <c r="B120" i="13"/>
  <c r="W120" i="13"/>
  <c r="R119" i="13"/>
  <c r="M119" i="13"/>
  <c r="H119" i="13"/>
  <c r="H15" i="13" s="1"/>
  <c r="I15" i="13" s="1"/>
  <c r="B119" i="13"/>
  <c r="W119" i="13"/>
  <c r="R118" i="13"/>
  <c r="M118" i="13"/>
  <c r="H118" i="13"/>
  <c r="B118" i="13"/>
  <c r="W118" i="13"/>
  <c r="R117" i="13"/>
  <c r="M117" i="13"/>
  <c r="H117" i="13"/>
  <c r="B117" i="13"/>
  <c r="W117" i="13"/>
  <c r="R116" i="13"/>
  <c r="M116" i="13"/>
  <c r="H116" i="13"/>
  <c r="B116" i="13"/>
  <c r="W116" i="13"/>
  <c r="R115" i="13"/>
  <c r="M115" i="13"/>
  <c r="H115" i="13"/>
  <c r="B115" i="13"/>
  <c r="W115" i="13"/>
  <c r="R114" i="13"/>
  <c r="M114" i="13"/>
  <c r="H114" i="13"/>
  <c r="B114" i="13"/>
  <c r="W113" i="13"/>
  <c r="R112" i="13"/>
  <c r="M112" i="13"/>
  <c r="H112" i="13"/>
  <c r="B112" i="13"/>
  <c r="W112" i="13"/>
  <c r="R111" i="13"/>
  <c r="M111" i="13"/>
  <c r="H111" i="13"/>
  <c r="B111" i="13"/>
  <c r="W111" i="13"/>
  <c r="R110" i="13"/>
  <c r="M110" i="13"/>
  <c r="H110" i="13"/>
  <c r="B110" i="13"/>
  <c r="W110" i="13"/>
  <c r="R109" i="13"/>
  <c r="M109" i="13"/>
  <c r="H109" i="13"/>
  <c r="B109" i="13"/>
  <c r="W109" i="13"/>
  <c r="R108" i="13"/>
  <c r="M108" i="13"/>
  <c r="H108" i="13"/>
  <c r="B108" i="13"/>
  <c r="W108" i="13"/>
  <c r="R107" i="13"/>
  <c r="M107" i="13"/>
  <c r="H107" i="13"/>
  <c r="B107" i="13"/>
  <c r="W107" i="13"/>
  <c r="R106" i="13"/>
  <c r="M106" i="13"/>
  <c r="H106" i="13"/>
  <c r="B106" i="13"/>
  <c r="M62" i="13"/>
  <c r="N62" i="13" s="1"/>
  <c r="H62" i="13"/>
  <c r="I62" i="13" s="1"/>
  <c r="W34" i="13"/>
  <c r="X34" i="13" s="1"/>
  <c r="R34" i="13"/>
  <c r="S34" i="13" s="1"/>
  <c r="M34" i="13"/>
  <c r="N34" i="13" s="1"/>
  <c r="H34" i="13"/>
  <c r="I34" i="13" s="1"/>
  <c r="B34" i="13"/>
  <c r="D34" i="13" s="1"/>
  <c r="B29" i="13"/>
  <c r="D29" i="13" s="1"/>
  <c r="B28" i="13"/>
  <c r="D28" i="13" s="1"/>
  <c r="H13" i="13"/>
  <c r="I13" i="13" s="1"/>
  <c r="B13" i="13"/>
  <c r="D13" i="13" s="1"/>
  <c r="W8" i="13"/>
  <c r="X8" i="13" s="1"/>
  <c r="R8" i="13"/>
  <c r="S8" i="13" s="1"/>
  <c r="M8" i="13"/>
  <c r="N8" i="13" s="1"/>
  <c r="R6" i="13"/>
  <c r="S6" i="13" s="1"/>
  <c r="H6" i="13"/>
  <c r="I6" i="13" s="1"/>
  <c r="B6" i="13"/>
  <c r="D6" i="13" s="1"/>
  <c r="D2" i="12"/>
  <c r="H29" i="13" l="1"/>
  <c r="I29" i="13" s="1"/>
  <c r="I61" i="13"/>
  <c r="M29" i="13"/>
  <c r="N29" i="13" s="1"/>
  <c r="N61" i="13"/>
  <c r="W28" i="13"/>
  <c r="X28" i="13" s="1"/>
  <c r="X61" i="13"/>
  <c r="R29" i="13"/>
  <c r="S29" i="13" s="1"/>
  <c r="R28" i="13"/>
  <c r="S28" i="13" s="1"/>
  <c r="H141" i="13"/>
  <c r="H11" i="13" s="1"/>
  <c r="I11" i="13" s="1"/>
  <c r="M144" i="13"/>
  <c r="M17" i="13" s="1"/>
  <c r="N17" i="13" s="1"/>
  <c r="M141" i="13"/>
  <c r="M11" i="13" s="1"/>
  <c r="N11" i="13" s="1"/>
  <c r="H142" i="13"/>
  <c r="H10" i="13" s="1"/>
  <c r="I10" i="13" s="1"/>
  <c r="B143" i="13"/>
  <c r="B16" i="13" s="1"/>
  <c r="D16" i="13" s="1"/>
  <c r="W144" i="13"/>
  <c r="W16" i="13" s="1"/>
  <c r="X16" i="13" s="1"/>
  <c r="R144" i="13"/>
  <c r="R17" i="13" s="1"/>
  <c r="S17" i="13" s="1"/>
  <c r="M145" i="13"/>
  <c r="M14" i="13" s="1"/>
  <c r="N14" i="13" s="1"/>
  <c r="H146" i="13"/>
  <c r="B147" i="13"/>
  <c r="B23" i="13" s="1"/>
  <c r="W148" i="13"/>
  <c r="W23" i="13" s="1"/>
  <c r="R142" i="13"/>
  <c r="R10" i="13" s="1"/>
  <c r="S10" i="13" s="1"/>
  <c r="R146" i="13"/>
  <c r="R15" i="13" s="1"/>
  <c r="S15" i="13" s="1"/>
  <c r="B141" i="13"/>
  <c r="B11" i="13" s="1"/>
  <c r="D11" i="13" s="1"/>
  <c r="H144" i="13"/>
  <c r="H17" i="13" s="1"/>
  <c r="I17" i="13" s="1"/>
  <c r="M28" i="13"/>
  <c r="N28" i="13" s="1"/>
  <c r="B142" i="13"/>
  <c r="B10" i="13" s="1"/>
  <c r="D10" i="13" s="1"/>
  <c r="W143" i="13"/>
  <c r="W10" i="13" s="1"/>
  <c r="X10" i="13" s="1"/>
  <c r="R143" i="13"/>
  <c r="R16" i="13" s="1"/>
  <c r="S16" i="13" s="1"/>
  <c r="W29" i="13"/>
  <c r="X29" i="13" s="1"/>
  <c r="M147" i="13"/>
  <c r="M23" i="13" s="1"/>
  <c r="R60" i="13"/>
  <c r="S60" i="13" s="1"/>
  <c r="M142" i="13"/>
  <c r="M10" i="13" s="1"/>
  <c r="N10" i="13" s="1"/>
  <c r="B144" i="13"/>
  <c r="B17" i="13" s="1"/>
  <c r="D17" i="13" s="1"/>
  <c r="R145" i="13"/>
  <c r="R14" i="13" s="1"/>
  <c r="S14" i="13" s="1"/>
  <c r="H147" i="13"/>
  <c r="H23" i="13" s="1"/>
  <c r="H130" i="13"/>
  <c r="H154" i="13" s="1"/>
  <c r="H60" i="13" s="1"/>
  <c r="I60" i="13" s="1"/>
  <c r="W142" i="13"/>
  <c r="W11" i="13" s="1"/>
  <c r="X11" i="13" s="1"/>
  <c r="M143" i="13"/>
  <c r="M16" i="13" s="1"/>
  <c r="N16" i="13" s="1"/>
  <c r="B145" i="13"/>
  <c r="B14" i="13" s="1"/>
  <c r="D14" i="13" s="1"/>
  <c r="W146" i="13"/>
  <c r="W14" i="13" s="1"/>
  <c r="X14" i="13" s="1"/>
  <c r="R141" i="13"/>
  <c r="R11" i="13" s="1"/>
  <c r="S11" i="13" s="1"/>
  <c r="H143" i="13"/>
  <c r="H16" i="13" s="1"/>
  <c r="I16" i="13" s="1"/>
  <c r="W145" i="13"/>
  <c r="W17" i="13" s="1"/>
  <c r="X17" i="13" s="1"/>
  <c r="M146" i="13"/>
  <c r="M15" i="13" s="1"/>
  <c r="N15" i="13" s="1"/>
  <c r="M130" i="13"/>
  <c r="M154" i="13" s="1"/>
  <c r="M60" i="13" s="1"/>
  <c r="N60" i="13" s="1"/>
  <c r="H28" i="13"/>
  <c r="I28" i="13" s="1"/>
  <c r="H145" i="13"/>
  <c r="H14" i="13" s="1"/>
  <c r="I14" i="13" s="1"/>
  <c r="B146" i="13"/>
  <c r="B15" i="13" s="1"/>
  <c r="D15" i="13" s="1"/>
  <c r="W147" i="13"/>
  <c r="W15" i="13" s="1"/>
  <c r="X15" i="13" s="1"/>
  <c r="R147" i="13"/>
  <c r="R23" i="13" s="1"/>
  <c r="B153" i="13"/>
  <c r="B59" i="13" s="1"/>
  <c r="D59" i="13" s="1"/>
  <c r="W154" i="13"/>
  <c r="W59" i="13" s="1"/>
  <c r="X59" i="13" s="1"/>
  <c r="E75" i="12"/>
  <c r="G75" i="12" s="1"/>
  <c r="E76" i="12"/>
  <c r="G76" i="12" s="1"/>
  <c r="E70" i="12"/>
  <c r="G70" i="12" s="1"/>
  <c r="E71" i="12"/>
  <c r="G71" i="12" s="1"/>
  <c r="E72" i="12"/>
  <c r="G72" i="12" s="1"/>
  <c r="E73" i="12"/>
  <c r="G73" i="12" s="1"/>
  <c r="E59" i="12"/>
  <c r="G59" i="12" s="1"/>
  <c r="E60" i="12"/>
  <c r="E61" i="12"/>
  <c r="G61" i="12" s="1"/>
  <c r="E62" i="12"/>
  <c r="G62" i="12" s="1"/>
  <c r="E16" i="12"/>
  <c r="E17" i="12"/>
  <c r="G17" i="12" s="1"/>
  <c r="E18" i="12"/>
  <c r="G18" i="12" s="1"/>
  <c r="E19" i="12"/>
  <c r="G19" i="12" s="1"/>
  <c r="E20" i="12"/>
  <c r="G20" i="12" s="1"/>
  <c r="E21" i="12"/>
  <c r="G21" i="12" s="1"/>
  <c r="E22" i="12"/>
  <c r="G22" i="12" s="1"/>
  <c r="E23" i="12"/>
  <c r="G23" i="12" s="1"/>
  <c r="E24" i="12"/>
  <c r="G24" i="12" s="1"/>
  <c r="E25" i="12"/>
  <c r="G25" i="12" s="1"/>
  <c r="E26" i="12"/>
  <c r="G26" i="12" s="1"/>
  <c r="E27" i="12"/>
  <c r="G27" i="12" s="1"/>
  <c r="E28" i="12"/>
  <c r="G28" i="12" s="1"/>
  <c r="E29" i="12"/>
  <c r="G29" i="12" s="1"/>
  <c r="E30" i="12"/>
  <c r="G30" i="12" s="1"/>
  <c r="E31" i="12"/>
  <c r="G31" i="12" s="1"/>
  <c r="E3" i="12"/>
  <c r="E4" i="12"/>
  <c r="G4" i="12" s="1"/>
  <c r="E9" i="12"/>
  <c r="E10" i="12"/>
  <c r="G10" i="12" s="1"/>
  <c r="E11" i="12"/>
  <c r="G11" i="12" s="1"/>
  <c r="E12" i="12"/>
  <c r="E13" i="12"/>
  <c r="G13" i="12" s="1"/>
  <c r="E14" i="12"/>
  <c r="E15" i="12"/>
  <c r="G15" i="12" s="1"/>
  <c r="G12" i="12" l="1"/>
  <c r="G9" i="12"/>
  <c r="G3" i="12"/>
  <c r="Q5" i="18"/>
  <c r="G16" i="12"/>
  <c r="G14" i="12"/>
  <c r="G60" i="12"/>
  <c r="H7" i="13"/>
  <c r="I7" i="13" s="1"/>
  <c r="I23" i="13"/>
  <c r="R7" i="13"/>
  <c r="S7" i="13" s="1"/>
  <c r="S23" i="13"/>
  <c r="M7" i="13"/>
  <c r="N7" i="13" s="1"/>
  <c r="N23" i="13"/>
  <c r="W7" i="13"/>
  <c r="X7" i="13" s="1"/>
  <c r="X23" i="13"/>
  <c r="B7" i="13"/>
  <c r="D7" i="13" s="1"/>
  <c r="D23" i="13"/>
  <c r="E30" i="16"/>
  <c r="V5" i="18" l="1"/>
  <c r="S5" i="18"/>
  <c r="W5" i="18"/>
  <c r="U5" i="18"/>
  <c r="X5" i="18"/>
  <c r="Y5" i="18"/>
  <c r="AA5" i="18"/>
  <c r="T5" i="18"/>
  <c r="AB5" i="18"/>
  <c r="Z5" i="18"/>
  <c r="L11" i="16"/>
  <c r="M11" i="16"/>
  <c r="K11" i="16"/>
  <c r="N11" i="16"/>
  <c r="O11" i="16"/>
  <c r="D102" i="13"/>
  <c r="N102" i="13"/>
  <c r="M4" i="16" s="1"/>
  <c r="M7" i="16" s="1"/>
  <c r="D6" i="17" s="1"/>
  <c r="I102" i="13"/>
  <c r="L4" i="16" s="1"/>
  <c r="L7" i="16" s="1"/>
  <c r="D5" i="17" s="1"/>
  <c r="X102" i="13"/>
  <c r="O4" i="16" s="1"/>
  <c r="O7" i="16" s="1"/>
  <c r="D8" i="17" s="1"/>
  <c r="S102" i="13"/>
  <c r="N4" i="16" s="1"/>
  <c r="N7" i="16" s="1"/>
  <c r="D7" i="17" s="1"/>
  <c r="E68" i="12"/>
  <c r="G68" i="12" s="1"/>
  <c r="E57" i="12"/>
  <c r="E51" i="12"/>
  <c r="G51" i="12" s="1"/>
  <c r="G57" i="12" l="1"/>
  <c r="M27" i="18"/>
  <c r="M47" i="18"/>
  <c r="K4" i="16"/>
  <c r="K7" i="16" s="1"/>
  <c r="D4" i="17" s="1"/>
  <c r="D3" i="16"/>
  <c r="F3" i="16" s="1"/>
  <c r="E32" i="12"/>
  <c r="E33" i="12"/>
  <c r="G33" i="12" s="1"/>
  <c r="E34" i="12"/>
  <c r="E35" i="12"/>
  <c r="G35" i="12" s="1"/>
  <c r="E36" i="12"/>
  <c r="G36" i="12" s="1"/>
  <c r="E37" i="12"/>
  <c r="E38" i="12"/>
  <c r="G38" i="12" s="1"/>
  <c r="E39" i="12"/>
  <c r="G39" i="12" s="1"/>
  <c r="E40" i="12"/>
  <c r="G40" i="12" s="1"/>
  <c r="E41" i="12"/>
  <c r="G41" i="12" s="1"/>
  <c r="E42" i="12"/>
  <c r="G42" i="12" s="1"/>
  <c r="E43" i="12"/>
  <c r="G43" i="12" s="1"/>
  <c r="E44" i="12"/>
  <c r="G44" i="12" s="1"/>
  <c r="E45" i="12"/>
  <c r="G45" i="12" s="1"/>
  <c r="E46" i="12"/>
  <c r="G46" i="12" s="1"/>
  <c r="E47" i="12"/>
  <c r="G47" i="12" s="1"/>
  <c r="E48" i="12"/>
  <c r="G48" i="12" s="1"/>
  <c r="E49" i="12"/>
  <c r="E50" i="12"/>
  <c r="E52" i="12"/>
  <c r="G52" i="12" s="1"/>
  <c r="E53" i="12"/>
  <c r="G53" i="12" s="1"/>
  <c r="E54" i="12"/>
  <c r="G54" i="12" s="1"/>
  <c r="E55" i="12"/>
  <c r="G55" i="12" s="1"/>
  <c r="E56" i="12"/>
  <c r="G56" i="12" s="1"/>
  <c r="E58" i="12"/>
  <c r="G58" i="12" s="1"/>
  <c r="E63" i="12"/>
  <c r="E64" i="12"/>
  <c r="G64" i="12" s="1"/>
  <c r="E65" i="12"/>
  <c r="G65" i="12" s="1"/>
  <c r="E66" i="12"/>
  <c r="G66" i="12" s="1"/>
  <c r="E67" i="12"/>
  <c r="G67" i="12" s="1"/>
  <c r="E69" i="12"/>
  <c r="G69" i="12" s="1"/>
  <c r="E74" i="12"/>
  <c r="E2" i="12"/>
  <c r="Q12" i="18" l="1"/>
  <c r="U12" i="18" s="1"/>
  <c r="G50" i="12"/>
  <c r="Q9" i="18"/>
  <c r="Q8" i="18"/>
  <c r="G74" i="12"/>
  <c r="Q6" i="18"/>
  <c r="G49" i="12"/>
  <c r="Q11" i="18"/>
  <c r="G37" i="12"/>
  <c r="Q10" i="18"/>
  <c r="G32" i="12"/>
  <c r="Q7" i="18"/>
  <c r="G63" i="12"/>
  <c r="J8" i="12" s="1"/>
  <c r="G68" i="16"/>
  <c r="E32" i="16" s="1"/>
  <c r="G34" i="12"/>
  <c r="E77" i="12"/>
  <c r="C4" i="1"/>
  <c r="C6" i="1" s="1"/>
  <c r="C7" i="1" s="1"/>
  <c r="C8" i="1" s="1"/>
  <c r="C9" i="1" s="1"/>
  <c r="S12" i="18" l="1"/>
  <c r="T12" i="18"/>
  <c r="G77" i="12"/>
  <c r="K14" i="17" s="1"/>
  <c r="F43" i="16"/>
  <c r="E9" i="16" s="1"/>
  <c r="C45" i="18"/>
  <c r="C25" i="18"/>
  <c r="T11" i="18"/>
  <c r="V11" i="18"/>
  <c r="X11" i="18"/>
  <c r="AA11" i="18"/>
  <c r="S11" i="18"/>
  <c r="Y11" i="18"/>
  <c r="Z11" i="18"/>
  <c r="U11" i="18"/>
  <c r="W11" i="18"/>
  <c r="AB11" i="18"/>
  <c r="S8" i="18"/>
  <c r="U8" i="18"/>
  <c r="T8" i="18"/>
  <c r="T10" i="18"/>
  <c r="W10" i="18"/>
  <c r="U10" i="18"/>
  <c r="S10" i="18"/>
  <c r="V10" i="18"/>
  <c r="T6" i="18"/>
  <c r="U6" i="18"/>
  <c r="AA6" i="18"/>
  <c r="Z6" i="18"/>
  <c r="V6" i="18"/>
  <c r="W6" i="18"/>
  <c r="AB6" i="18"/>
  <c r="S6" i="18"/>
  <c r="X6" i="18"/>
  <c r="Y6" i="18"/>
  <c r="V7" i="18"/>
  <c r="AA7" i="18"/>
  <c r="W7" i="18"/>
  <c r="AB7" i="18"/>
  <c r="U7" i="18"/>
  <c r="X7" i="18"/>
  <c r="Z7" i="18"/>
  <c r="Y7" i="18"/>
  <c r="T7" i="18"/>
  <c r="S7" i="18"/>
  <c r="J5" i="12"/>
  <c r="S9" i="18"/>
  <c r="T9" i="18"/>
  <c r="U9" i="18"/>
  <c r="E34" i="16"/>
  <c r="E35" i="16" s="1"/>
  <c r="J9" i="12"/>
  <c r="J2" i="12"/>
  <c r="I77" i="12"/>
  <c r="J77" i="12" s="1"/>
  <c r="G5" i="1"/>
  <c r="G6" i="1" s="1"/>
  <c r="AA13" i="18" l="1"/>
  <c r="AB13" i="18"/>
  <c r="M37" i="18" s="1"/>
  <c r="L37" i="18"/>
  <c r="L57" i="18"/>
  <c r="Y13" i="18"/>
  <c r="W13" i="18"/>
  <c r="U13" i="18"/>
  <c r="E17" i="16"/>
  <c r="E23" i="16" s="1"/>
  <c r="J6" i="12"/>
  <c r="X13" i="18"/>
  <c r="V13" i="18"/>
  <c r="T13" i="18"/>
  <c r="S13" i="18"/>
  <c r="Z13" i="18"/>
  <c r="G35" i="16"/>
  <c r="L12" i="16"/>
  <c r="K12" i="16"/>
  <c r="M12" i="16"/>
  <c r="O12" i="16"/>
  <c r="N12" i="16"/>
  <c r="F40" i="16"/>
  <c r="J3" i="12"/>
  <c r="E6" i="16"/>
  <c r="E10" i="16" s="1"/>
  <c r="G7" i="1"/>
  <c r="F10" i="16"/>
  <c r="J36" i="10"/>
  <c r="E14" i="10" s="1"/>
  <c r="I36" i="10"/>
  <c r="E13" i="10" s="1"/>
  <c r="H36" i="10"/>
  <c r="E12" i="10" s="1"/>
  <c r="G36" i="10"/>
  <c r="E11" i="10" s="1"/>
  <c r="F36" i="10"/>
  <c r="E10" i="10" s="1"/>
  <c r="E36" i="10"/>
  <c r="E9" i="10" s="1"/>
  <c r="D36" i="10"/>
  <c r="E16" i="10" s="1"/>
  <c r="C36" i="10"/>
  <c r="E15" i="10" s="1"/>
  <c r="M57" i="18" l="1"/>
  <c r="H57" i="18"/>
  <c r="H37" i="18"/>
  <c r="J37" i="18"/>
  <c r="J57" i="18"/>
  <c r="K57" i="18"/>
  <c r="K37" i="18"/>
  <c r="E57" i="18"/>
  <c r="E37" i="18"/>
  <c r="G23" i="16"/>
  <c r="N10" i="16"/>
  <c r="L10" i="16"/>
  <c r="K10" i="16"/>
  <c r="O10" i="16"/>
  <c r="M10" i="16"/>
  <c r="I57" i="18"/>
  <c r="I37" i="18"/>
  <c r="D37" i="18"/>
  <c r="D57" i="18"/>
  <c r="G37" i="18"/>
  <c r="G57" i="18"/>
  <c r="F37" i="18"/>
  <c r="F57" i="18"/>
  <c r="E36" i="16"/>
  <c r="L9" i="16"/>
  <c r="O9" i="16"/>
  <c r="M9" i="16"/>
  <c r="N9" i="16"/>
  <c r="K9" i="16"/>
  <c r="K13" i="16" s="1"/>
  <c r="K14" i="16" s="1"/>
  <c r="G10" i="16"/>
  <c r="V34" i="2"/>
  <c r="V8" i="2"/>
  <c r="V150" i="2"/>
  <c r="V13" i="2" s="1"/>
  <c r="V129" i="2"/>
  <c r="V130" i="2" s="1"/>
  <c r="Q34" i="2"/>
  <c r="M13" i="16" l="1"/>
  <c r="M14" i="16" s="1"/>
  <c r="O13" i="16"/>
  <c r="O14" i="16" s="1"/>
  <c r="O17" i="16" s="1"/>
  <c r="O18" i="16" s="1"/>
  <c r="L13" i="16"/>
  <c r="L14" i="16" s="1"/>
  <c r="L16" i="16" s="1"/>
  <c r="N13" i="16"/>
  <c r="N14" i="16" s="1"/>
  <c r="N16" i="16" s="1"/>
  <c r="E18" i="18"/>
  <c r="I18" i="18"/>
  <c r="M18" i="18"/>
  <c r="K18" i="18"/>
  <c r="H18" i="18"/>
  <c r="F18" i="18"/>
  <c r="J18" i="18"/>
  <c r="N18" i="18"/>
  <c r="G18" i="18"/>
  <c r="C18" i="18"/>
  <c r="D18" i="18"/>
  <c r="L18" i="18"/>
  <c r="K13" i="17"/>
  <c r="L15" i="17" s="1"/>
  <c r="M17" i="16"/>
  <c r="M18" i="16" s="1"/>
  <c r="M16" i="16"/>
  <c r="K16" i="16"/>
  <c r="K17" i="16"/>
  <c r="K18" i="16" s="1"/>
  <c r="Q8" i="2"/>
  <c r="Q6" i="2"/>
  <c r="B29" i="2"/>
  <c r="B28" i="2"/>
  <c r="Q150" i="2"/>
  <c r="Q13" i="2" s="1"/>
  <c r="Q129" i="2"/>
  <c r="L34" i="2"/>
  <c r="N17" i="16" l="1"/>
  <c r="N18" i="16" s="1"/>
  <c r="O16" i="16"/>
  <c r="L17" i="16"/>
  <c r="L18" i="16" s="1"/>
  <c r="F26" i="16"/>
  <c r="F30" i="16" s="1"/>
  <c r="F36" i="16" s="1"/>
  <c r="E33" i="18"/>
  <c r="E53" i="18"/>
  <c r="L33" i="18"/>
  <c r="I33" i="18"/>
  <c r="I53" i="18"/>
  <c r="D33" i="18"/>
  <c r="K53" i="18"/>
  <c r="K33" i="18"/>
  <c r="J33" i="18"/>
  <c r="M33" i="18"/>
  <c r="H53" i="18"/>
  <c r="F53" i="18"/>
  <c r="F33" i="18"/>
  <c r="L53" i="18"/>
  <c r="D53" i="18"/>
  <c r="G53" i="18"/>
  <c r="H33" i="18"/>
  <c r="M53" i="18"/>
  <c r="J53" i="18"/>
  <c r="G33" i="18"/>
  <c r="C5" i="18"/>
  <c r="F5" i="18" s="1"/>
  <c r="M20" i="16"/>
  <c r="M21" i="16" s="1"/>
  <c r="C6" i="17"/>
  <c r="C3" i="18"/>
  <c r="F3" i="18" s="1"/>
  <c r="C4" i="17"/>
  <c r="K20" i="16"/>
  <c r="K21" i="16" s="1"/>
  <c r="C6" i="18"/>
  <c r="F6" i="18" s="1"/>
  <c r="N20" i="16"/>
  <c r="N21" i="16" s="1"/>
  <c r="C7" i="17"/>
  <c r="C4" i="18"/>
  <c r="F4" i="18" s="1"/>
  <c r="C5" i="17"/>
  <c r="L20" i="16"/>
  <c r="L21" i="16" s="1"/>
  <c r="C7" i="18"/>
  <c r="F7" i="18" s="1"/>
  <c r="C8" i="17"/>
  <c r="O20" i="16"/>
  <c r="O21" i="16" s="1"/>
  <c r="L8" i="2"/>
  <c r="I183" i="2"/>
  <c r="G8" i="2" s="1"/>
  <c r="G6" i="2"/>
  <c r="B6" i="2"/>
  <c r="I186" i="2"/>
  <c r="I185" i="2"/>
  <c r="L186" i="2"/>
  <c r="L6" i="2" s="1"/>
  <c r="G183" i="2"/>
  <c r="B8" i="2" s="1"/>
  <c r="L150" i="2"/>
  <c r="L13" i="2" s="1"/>
  <c r="G156" i="2"/>
  <c r="L156" i="2"/>
  <c r="L62" i="2" s="1"/>
  <c r="B129" i="2"/>
  <c r="B130" i="2" s="1"/>
  <c r="G129" i="2"/>
  <c r="G130" i="2" s="1"/>
  <c r="L129" i="2"/>
  <c r="L130" i="2" s="1"/>
  <c r="D50" i="18" l="1"/>
  <c r="D30" i="18"/>
  <c r="G30" i="16"/>
  <c r="G36" i="16" s="1"/>
  <c r="D23" i="17"/>
  <c r="E23" i="17" s="1"/>
  <c r="D14" i="17"/>
  <c r="E14" i="17" s="1"/>
  <c r="F5" i="17"/>
  <c r="D24" i="17"/>
  <c r="E24" i="17" s="1"/>
  <c r="F6" i="17"/>
  <c r="D15" i="17"/>
  <c r="E15" i="17" s="1"/>
  <c r="D26" i="17"/>
  <c r="E26" i="17" s="1"/>
  <c r="F8" i="17"/>
  <c r="D17" i="17"/>
  <c r="E17" i="17" s="1"/>
  <c r="D25" i="17"/>
  <c r="E25" i="17" s="1"/>
  <c r="F7" i="17"/>
  <c r="D16" i="17"/>
  <c r="E16" i="17" s="1"/>
  <c r="D22" i="17"/>
  <c r="E22" i="17" s="1"/>
  <c r="F4" i="17"/>
  <c r="D13" i="17"/>
  <c r="E13" i="17" s="1"/>
  <c r="F8" i="18"/>
  <c r="D17" i="18"/>
  <c r="H17" i="18"/>
  <c r="L17" i="18"/>
  <c r="E17" i="18"/>
  <c r="I17" i="18"/>
  <c r="M17" i="18"/>
  <c r="G17" i="18"/>
  <c r="K17" i="18"/>
  <c r="C17" i="18"/>
  <c r="F17" i="18"/>
  <c r="J17" i="18"/>
  <c r="N17" i="18"/>
  <c r="G62" i="2"/>
  <c r="G34" i="2"/>
  <c r="G13" i="2"/>
  <c r="J3" i="18" l="1"/>
  <c r="G15" i="18" s="1"/>
  <c r="D48" i="18"/>
  <c r="D28" i="18"/>
  <c r="N15" i="18"/>
  <c r="G8" i="17"/>
  <c r="F17" i="17"/>
  <c r="F26" i="17"/>
  <c r="F25" i="17"/>
  <c r="G7" i="17"/>
  <c r="F16" i="17"/>
  <c r="G5" i="17"/>
  <c r="F23" i="17"/>
  <c r="F14" i="17"/>
  <c r="F13" i="17"/>
  <c r="F22" i="17"/>
  <c r="G4" i="17"/>
  <c r="E18" i="17"/>
  <c r="K6" i="17" s="1"/>
  <c r="E27" i="17"/>
  <c r="K22" i="17" s="1"/>
  <c r="F24" i="17"/>
  <c r="F15" i="17"/>
  <c r="G6" i="17"/>
  <c r="B34" i="2"/>
  <c r="B13" i="2"/>
  <c r="F8" i="7" s="1"/>
  <c r="H8" i="7" s="1"/>
  <c r="I8" i="7" s="1"/>
  <c r="J16" i="18" l="1"/>
  <c r="H16" i="18"/>
  <c r="F14" i="18"/>
  <c r="N16" i="18"/>
  <c r="K14" i="18"/>
  <c r="G14" i="18"/>
  <c r="J15" i="18"/>
  <c r="M15" i="18"/>
  <c r="E16" i="18"/>
  <c r="M16" i="18"/>
  <c r="K15" i="18"/>
  <c r="L16" i="18"/>
  <c r="G16" i="18"/>
  <c r="L15" i="18"/>
  <c r="N14" i="18"/>
  <c r="I15" i="18"/>
  <c r="E14" i="18"/>
  <c r="F15" i="18"/>
  <c r="D15" i="18"/>
  <c r="I16" i="18"/>
  <c r="J14" i="18"/>
  <c r="K16" i="18"/>
  <c r="H15" i="18"/>
  <c r="M14" i="18"/>
  <c r="H14" i="18"/>
  <c r="F18" i="17"/>
  <c r="D14" i="18"/>
  <c r="D20" i="18" s="1"/>
  <c r="D32" i="18"/>
  <c r="D34" i="18" s="1"/>
  <c r="D35" i="18" s="1"/>
  <c r="D36" i="18" s="1"/>
  <c r="D40" i="18" s="1"/>
  <c r="D65" i="18" s="1"/>
  <c r="E15" i="18"/>
  <c r="C14" i="18"/>
  <c r="C20" i="18" s="1"/>
  <c r="F16" i="18"/>
  <c r="I14" i="18"/>
  <c r="L14" i="18"/>
  <c r="D52" i="18"/>
  <c r="D54" i="18" s="1"/>
  <c r="D55" i="18" s="1"/>
  <c r="D56" i="18" s="1"/>
  <c r="D60" i="18" s="1"/>
  <c r="D66" i="18" s="1"/>
  <c r="G9" i="17"/>
  <c r="F27" i="17"/>
  <c r="V157" i="2"/>
  <c r="V22" i="2" s="1"/>
  <c r="Q157" i="2"/>
  <c r="Q22" i="2" s="1"/>
  <c r="L157" i="2"/>
  <c r="L22" i="2" s="1"/>
  <c r="G157" i="2"/>
  <c r="G22" i="2" s="1"/>
  <c r="F20" i="18" l="1"/>
  <c r="G20" i="18"/>
  <c r="M20" i="18"/>
  <c r="N20" i="18"/>
  <c r="L20" i="18"/>
  <c r="K20" i="18"/>
  <c r="I20" i="18"/>
  <c r="H20" i="18"/>
  <c r="J20" i="18"/>
  <c r="E20" i="18"/>
  <c r="E32" i="18"/>
  <c r="E34" i="18" s="1"/>
  <c r="E52" i="18"/>
  <c r="E54" i="18" s="1"/>
  <c r="E55" i="18" s="1"/>
  <c r="E56" i="18" s="1"/>
  <c r="E60" i="18" s="1"/>
  <c r="E66" i="18" s="1"/>
  <c r="C46" i="18"/>
  <c r="C26" i="18"/>
  <c r="K4" i="17"/>
  <c r="K21" i="17"/>
  <c r="E53" i="7"/>
  <c r="F82" i="7"/>
  <c r="H82" i="7" s="1"/>
  <c r="I82" i="7" s="1"/>
  <c r="F83" i="7"/>
  <c r="H83" i="7" s="1"/>
  <c r="I83" i="7" s="1"/>
  <c r="F84" i="7"/>
  <c r="H84" i="7" s="1"/>
  <c r="I84" i="7" s="1"/>
  <c r="F85" i="7"/>
  <c r="H85" i="7" s="1"/>
  <c r="I85" i="7" s="1"/>
  <c r="H86" i="7"/>
  <c r="I86" i="7" s="1"/>
  <c r="F81" i="7"/>
  <c r="H81" i="7" s="1"/>
  <c r="I81" i="7" s="1"/>
  <c r="F80" i="7"/>
  <c r="H80" i="7" s="1"/>
  <c r="I80" i="7" s="1"/>
  <c r="F79" i="7"/>
  <c r="H79" i="7" s="1"/>
  <c r="I79" i="7" s="1"/>
  <c r="F78" i="7"/>
  <c r="H78" i="7" s="1"/>
  <c r="I78" i="7" s="1"/>
  <c r="F77" i="7"/>
  <c r="H77" i="7" s="1"/>
  <c r="I77" i="7" s="1"/>
  <c r="F76" i="7"/>
  <c r="H76" i="7" s="1"/>
  <c r="I76" i="7" s="1"/>
  <c r="F66" i="7"/>
  <c r="H66" i="7" s="1"/>
  <c r="I66" i="7" s="1"/>
  <c r="F67" i="7"/>
  <c r="H67" i="7" s="1"/>
  <c r="I67" i="7" s="1"/>
  <c r="F68" i="7"/>
  <c r="H68" i="7" s="1"/>
  <c r="I68" i="7" s="1"/>
  <c r="F70" i="7"/>
  <c r="H70" i="7" s="1"/>
  <c r="I70" i="7" s="1"/>
  <c r="F71" i="7"/>
  <c r="H71" i="7" s="1"/>
  <c r="I71" i="7" s="1"/>
  <c r="F65" i="7"/>
  <c r="H65" i="7" s="1"/>
  <c r="I65" i="7" s="1"/>
  <c r="F56" i="7"/>
  <c r="H56" i="7" s="1"/>
  <c r="I56" i="7" s="1"/>
  <c r="F57" i="7"/>
  <c r="H57" i="7" s="1"/>
  <c r="I57" i="7" s="1"/>
  <c r="F58" i="7"/>
  <c r="H58" i="7" s="1"/>
  <c r="I58" i="7" s="1"/>
  <c r="F59" i="7"/>
  <c r="H59" i="7" s="1"/>
  <c r="I59" i="7" s="1"/>
  <c r="F60" i="7"/>
  <c r="H60" i="7" s="1"/>
  <c r="I60" i="7" s="1"/>
  <c r="F61" i="7"/>
  <c r="H61" i="7" s="1"/>
  <c r="I61" i="7" s="1"/>
  <c r="F62" i="7"/>
  <c r="H62" i="7" s="1"/>
  <c r="I62" i="7" s="1"/>
  <c r="F64" i="7"/>
  <c r="H64" i="7" s="1"/>
  <c r="I64" i="7" s="1"/>
  <c r="F55" i="7"/>
  <c r="H55" i="7" s="1"/>
  <c r="I55" i="7" s="1"/>
  <c r="F43" i="7"/>
  <c r="H43" i="7" s="1"/>
  <c r="I43" i="7" s="1"/>
  <c r="F44" i="7"/>
  <c r="H44" i="7" s="1"/>
  <c r="I44" i="7" s="1"/>
  <c r="F45" i="7"/>
  <c r="H45" i="7" s="1"/>
  <c r="I45" i="7" s="1"/>
  <c r="F46" i="7"/>
  <c r="H46" i="7" s="1"/>
  <c r="I46" i="7" s="1"/>
  <c r="F47" i="7"/>
  <c r="H47" i="7" s="1"/>
  <c r="I47" i="7" s="1"/>
  <c r="F48" i="7"/>
  <c r="H48" i="7" s="1"/>
  <c r="I48" i="7" s="1"/>
  <c r="F49" i="7"/>
  <c r="H49" i="7" s="1"/>
  <c r="I49" i="7" s="1"/>
  <c r="F42" i="7"/>
  <c r="H42" i="7" s="1"/>
  <c r="I42" i="7" s="1"/>
  <c r="F27" i="7"/>
  <c r="H27" i="7" s="1"/>
  <c r="I27" i="7" s="1"/>
  <c r="F28" i="7"/>
  <c r="H28" i="7" s="1"/>
  <c r="I28" i="7" s="1"/>
  <c r="F29" i="7"/>
  <c r="H29" i="7" s="1"/>
  <c r="I29" i="7" s="1"/>
  <c r="F30" i="7"/>
  <c r="H30" i="7" s="1"/>
  <c r="I30" i="7" s="1"/>
  <c r="F31" i="7"/>
  <c r="H31" i="7" s="1"/>
  <c r="I31" i="7" s="1"/>
  <c r="F32" i="7"/>
  <c r="H32" i="7" s="1"/>
  <c r="I32" i="7" s="1"/>
  <c r="F33" i="7"/>
  <c r="H33" i="7" s="1"/>
  <c r="I33" i="7" s="1"/>
  <c r="F34" i="7"/>
  <c r="H34" i="7" s="1"/>
  <c r="I34" i="7" s="1"/>
  <c r="F35" i="7"/>
  <c r="H35" i="7" s="1"/>
  <c r="I35" i="7" s="1"/>
  <c r="F36" i="7"/>
  <c r="H36" i="7" s="1"/>
  <c r="I36" i="7" s="1"/>
  <c r="F37" i="7"/>
  <c r="H37" i="7" s="1"/>
  <c r="I37" i="7" s="1"/>
  <c r="F38" i="7"/>
  <c r="H38" i="7" s="1"/>
  <c r="I38" i="7" s="1"/>
  <c r="F39" i="7"/>
  <c r="H39" i="7" s="1"/>
  <c r="I39" i="7" s="1"/>
  <c r="F40" i="7"/>
  <c r="H40" i="7" s="1"/>
  <c r="I40" i="7" s="1"/>
  <c r="F41" i="7"/>
  <c r="H41" i="7" s="1"/>
  <c r="I41" i="7" s="1"/>
  <c r="F26" i="7"/>
  <c r="H26" i="7" s="1"/>
  <c r="I26" i="7" s="1"/>
  <c r="F25" i="7"/>
  <c r="H25" i="7" s="1"/>
  <c r="I25" i="7" s="1"/>
  <c r="F21" i="7"/>
  <c r="H21" i="7" s="1"/>
  <c r="I21" i="7" s="1"/>
  <c r="F22" i="7"/>
  <c r="H22" i="7" s="1"/>
  <c r="I22" i="7" s="1"/>
  <c r="F2" i="7"/>
  <c r="H2" i="7" s="1"/>
  <c r="I2" i="7" s="1"/>
  <c r="F4" i="7"/>
  <c r="H4" i="7" s="1"/>
  <c r="I4" i="7" s="1"/>
  <c r="L18" i="4"/>
  <c r="L20" i="4" s="1"/>
  <c r="L10" i="4"/>
  <c r="L2" i="4"/>
  <c r="L3" i="4" s="1"/>
  <c r="L12" i="4" s="1"/>
  <c r="B64" i="3"/>
  <c r="L63" i="3"/>
  <c r="J63" i="3"/>
  <c r="H63" i="3"/>
  <c r="F63" i="3"/>
  <c r="D63" i="3"/>
  <c r="L62" i="3"/>
  <c r="J62" i="3"/>
  <c r="H62" i="3"/>
  <c r="F62" i="3"/>
  <c r="D62" i="3"/>
  <c r="L61" i="3"/>
  <c r="J61" i="3"/>
  <c r="H61" i="3"/>
  <c r="F61" i="3"/>
  <c r="D61" i="3"/>
  <c r="L60" i="3"/>
  <c r="J60" i="3"/>
  <c r="H60" i="3"/>
  <c r="F60" i="3"/>
  <c r="D60" i="3"/>
  <c r="L59" i="3"/>
  <c r="J59" i="3"/>
  <c r="H59" i="3"/>
  <c r="F59" i="3"/>
  <c r="D59" i="3"/>
  <c r="L58" i="3"/>
  <c r="J58" i="3"/>
  <c r="H58" i="3"/>
  <c r="F58" i="3"/>
  <c r="D58" i="3"/>
  <c r="X38" i="3"/>
  <c r="P38" i="3"/>
  <c r="H38" i="3"/>
  <c r="X37" i="3"/>
  <c r="P37" i="3"/>
  <c r="H37" i="3"/>
  <c r="X36" i="3"/>
  <c r="P36" i="3"/>
  <c r="H36" i="3"/>
  <c r="X35" i="3"/>
  <c r="P35" i="3"/>
  <c r="H35" i="3"/>
  <c r="E28" i="3"/>
  <c r="E27" i="3"/>
  <c r="E26" i="3"/>
  <c r="E29" i="3" s="1"/>
  <c r="F27" i="3" s="1"/>
  <c r="E20" i="3"/>
  <c r="F20" i="3" s="1"/>
  <c r="E19" i="3"/>
  <c r="F19" i="3" s="1"/>
  <c r="E18" i="3"/>
  <c r="F18" i="3" s="1"/>
  <c r="E17" i="3"/>
  <c r="F17" i="3" s="1"/>
  <c r="D10" i="3"/>
  <c r="B10" i="3"/>
  <c r="J9" i="3"/>
  <c r="H9" i="3"/>
  <c r="F9" i="3"/>
  <c r="D9" i="3"/>
  <c r="J8" i="3"/>
  <c r="H8" i="3"/>
  <c r="F8" i="3"/>
  <c r="D8" i="3"/>
  <c r="J7" i="3"/>
  <c r="H7" i="3"/>
  <c r="F7" i="3"/>
  <c r="D7" i="3"/>
  <c r="J6" i="3"/>
  <c r="H6" i="3"/>
  <c r="F6" i="3"/>
  <c r="D6" i="3"/>
  <c r="J5" i="3"/>
  <c r="J10" i="3" s="1"/>
  <c r="H5" i="3"/>
  <c r="H10" i="3" s="1"/>
  <c r="F5" i="3"/>
  <c r="F10" i="3" s="1"/>
  <c r="D5" i="3"/>
  <c r="B157" i="2"/>
  <c r="B22" i="2" s="1"/>
  <c r="F13" i="7" s="1"/>
  <c r="H13" i="7" s="1"/>
  <c r="I13" i="7" s="1"/>
  <c r="V156" i="2"/>
  <c r="V62" i="2" s="1"/>
  <c r="Q156" i="2"/>
  <c r="Q62" i="2" s="1"/>
  <c r="B156" i="2"/>
  <c r="V155" i="2"/>
  <c r="V61" i="2" s="1"/>
  <c r="Q155" i="2"/>
  <c r="Q61" i="2" s="1"/>
  <c r="L155" i="2"/>
  <c r="L61" i="2" s="1"/>
  <c r="G155" i="2"/>
  <c r="G61" i="2" s="1"/>
  <c r="B155" i="2"/>
  <c r="V151" i="2"/>
  <c r="V25" i="2" s="1"/>
  <c r="Q151" i="2"/>
  <c r="Q25" i="2" s="1"/>
  <c r="L151" i="2"/>
  <c r="L25" i="2" s="1"/>
  <c r="G151" i="2"/>
  <c r="G25" i="2" s="1"/>
  <c r="B151" i="2"/>
  <c r="B25" i="2" s="1"/>
  <c r="V154" i="2"/>
  <c r="V60" i="2" s="1"/>
  <c r="Q130" i="2"/>
  <c r="L154" i="2"/>
  <c r="L60" i="2" s="1"/>
  <c r="G154" i="2"/>
  <c r="G60" i="2" s="1"/>
  <c r="B154" i="2"/>
  <c r="V153" i="2"/>
  <c r="V59" i="2" s="1"/>
  <c r="Q153" i="2"/>
  <c r="Q59" i="2" s="1"/>
  <c r="L153" i="2"/>
  <c r="L59" i="2" s="1"/>
  <c r="G153" i="2"/>
  <c r="G59" i="2" s="1"/>
  <c r="B153" i="2"/>
  <c r="B59" i="2" s="1"/>
  <c r="V128" i="2"/>
  <c r="V152" i="2" s="1"/>
  <c r="V58" i="2" s="1"/>
  <c r="Q128" i="2"/>
  <c r="Q152" i="2" s="1"/>
  <c r="Q58" i="2" s="1"/>
  <c r="L128" i="2"/>
  <c r="L152" i="2" s="1"/>
  <c r="L58" i="2" s="1"/>
  <c r="G128" i="2"/>
  <c r="G152" i="2" s="1"/>
  <c r="G58" i="2" s="1"/>
  <c r="B128" i="2"/>
  <c r="B152" i="2" s="1"/>
  <c r="B58" i="2" s="1"/>
  <c r="V125" i="2"/>
  <c r="V149" i="2" s="1"/>
  <c r="V24" i="2" s="1"/>
  <c r="Q125" i="2"/>
  <c r="Q149" i="2" s="1"/>
  <c r="Q24" i="2" s="1"/>
  <c r="L125" i="2"/>
  <c r="L149" i="2" s="1"/>
  <c r="L24" i="2" s="1"/>
  <c r="G125" i="2"/>
  <c r="G149" i="2" s="1"/>
  <c r="G24" i="2" s="1"/>
  <c r="B125" i="2"/>
  <c r="B149" i="2" s="1"/>
  <c r="B24" i="2" s="1"/>
  <c r="V124" i="2"/>
  <c r="V148" i="2" s="1"/>
  <c r="V12" i="2" s="1"/>
  <c r="Q124" i="2"/>
  <c r="Q148" i="2" s="1"/>
  <c r="Q12" i="2" s="1"/>
  <c r="L124" i="2"/>
  <c r="L148" i="2" s="1"/>
  <c r="L12" i="2" s="1"/>
  <c r="G124" i="2"/>
  <c r="G148" i="2" s="1"/>
  <c r="G12" i="2" s="1"/>
  <c r="B124" i="2"/>
  <c r="B148" i="2" s="1"/>
  <c r="B12" i="2" s="1"/>
  <c r="V122" i="2"/>
  <c r="Q122" i="2"/>
  <c r="L122" i="2"/>
  <c r="G122" i="2"/>
  <c r="B122" i="2"/>
  <c r="V120" i="2"/>
  <c r="Q120" i="2"/>
  <c r="L120" i="2"/>
  <c r="G120" i="2"/>
  <c r="B120" i="2"/>
  <c r="V119" i="2"/>
  <c r="Q119" i="2"/>
  <c r="L119" i="2"/>
  <c r="G119" i="2"/>
  <c r="G15" i="2" s="1"/>
  <c r="B119" i="2"/>
  <c r="V118" i="2"/>
  <c r="Q118" i="2"/>
  <c r="L118" i="2"/>
  <c r="G118" i="2"/>
  <c r="B118" i="2"/>
  <c r="V117" i="2"/>
  <c r="Q117" i="2"/>
  <c r="L117" i="2"/>
  <c r="G117" i="2"/>
  <c r="B117" i="2"/>
  <c r="V116" i="2"/>
  <c r="Q116" i="2"/>
  <c r="L116" i="2"/>
  <c r="G116" i="2"/>
  <c r="B116" i="2"/>
  <c r="V115" i="2"/>
  <c r="Q115" i="2"/>
  <c r="L115" i="2"/>
  <c r="G115" i="2"/>
  <c r="B115" i="2"/>
  <c r="V114" i="2"/>
  <c r="Q114" i="2"/>
  <c r="L114" i="2"/>
  <c r="G114" i="2"/>
  <c r="B114" i="2"/>
  <c r="V112" i="2"/>
  <c r="Q112" i="2"/>
  <c r="L112" i="2"/>
  <c r="G112" i="2"/>
  <c r="B112" i="2"/>
  <c r="V111" i="2"/>
  <c r="Q111" i="2"/>
  <c r="L111" i="2"/>
  <c r="G111" i="2"/>
  <c r="B111" i="2"/>
  <c r="V110" i="2"/>
  <c r="Q110" i="2"/>
  <c r="L110" i="2"/>
  <c r="G110" i="2"/>
  <c r="B110" i="2"/>
  <c r="V109" i="2"/>
  <c r="Q109" i="2"/>
  <c r="L109" i="2"/>
  <c r="G109" i="2"/>
  <c r="B109" i="2"/>
  <c r="V108" i="2"/>
  <c r="Q108" i="2"/>
  <c r="L108" i="2"/>
  <c r="G108" i="2"/>
  <c r="B108" i="2"/>
  <c r="V107" i="2"/>
  <c r="Q107" i="2"/>
  <c r="L107" i="2"/>
  <c r="G107" i="2"/>
  <c r="B107" i="2"/>
  <c r="V106" i="2"/>
  <c r="Q106" i="2"/>
  <c r="L106" i="2"/>
  <c r="G106" i="2"/>
  <c r="B106" i="2"/>
  <c r="F52" i="18" l="1"/>
  <c r="F54" i="18" s="1"/>
  <c r="F55" i="18" s="1"/>
  <c r="F56" i="18" s="1"/>
  <c r="F60" i="18" s="1"/>
  <c r="F66" i="18" s="1"/>
  <c r="C40" i="18"/>
  <c r="C65" i="18" s="1"/>
  <c r="M26" i="18"/>
  <c r="E35" i="18"/>
  <c r="E36" i="18" s="1"/>
  <c r="E40" i="18" s="1"/>
  <c r="E65" i="18" s="1"/>
  <c r="M46" i="18"/>
  <c r="C60" i="18"/>
  <c r="C66" i="18" s="1"/>
  <c r="F32" i="18"/>
  <c r="F34" i="18" s="1"/>
  <c r="L22" i="4"/>
  <c r="X39" i="3"/>
  <c r="L19" i="4"/>
  <c r="Q35" i="3"/>
  <c r="F64" i="3"/>
  <c r="P39" i="3"/>
  <c r="H39" i="3"/>
  <c r="Q37" i="3"/>
  <c r="Y38" i="3"/>
  <c r="H64" i="3"/>
  <c r="D64" i="3"/>
  <c r="L64" i="3"/>
  <c r="J64" i="3"/>
  <c r="L147" i="2"/>
  <c r="L23" i="2" s="1"/>
  <c r="L7" i="2" s="1"/>
  <c r="F20" i="7"/>
  <c r="H20" i="7" s="1"/>
  <c r="I20" i="7" s="1"/>
  <c r="F54" i="7"/>
  <c r="H54" i="7" s="1"/>
  <c r="I54" i="7" s="1"/>
  <c r="F19" i="7"/>
  <c r="H19" i="7" s="1"/>
  <c r="I19" i="7" s="1"/>
  <c r="V147" i="2"/>
  <c r="V23" i="2" s="1"/>
  <c r="V7" i="2" s="1"/>
  <c r="F51" i="7"/>
  <c r="H51" i="7" s="1"/>
  <c r="I51" i="7" s="1"/>
  <c r="Q154" i="2"/>
  <c r="Q60" i="2"/>
  <c r="F52" i="7" s="1"/>
  <c r="H52" i="7" s="1"/>
  <c r="I52" i="7" s="1"/>
  <c r="G29" i="2"/>
  <c r="G28" i="2"/>
  <c r="F53" i="7"/>
  <c r="H53" i="7" s="1"/>
  <c r="I53" i="7" s="1"/>
  <c r="Q29" i="2"/>
  <c r="Q28" i="2"/>
  <c r="F50" i="7"/>
  <c r="H50" i="7" s="1"/>
  <c r="I50" i="7" s="1"/>
  <c r="V28" i="2"/>
  <c r="V29" i="2"/>
  <c r="V143" i="2"/>
  <c r="V16" i="2" s="1"/>
  <c r="B147" i="2"/>
  <c r="B23" i="2" s="1"/>
  <c r="B7" i="2" s="1"/>
  <c r="G147" i="2"/>
  <c r="G23" i="2" s="1"/>
  <c r="G7" i="2" s="1"/>
  <c r="F7" i="7"/>
  <c r="H7" i="7" s="1"/>
  <c r="I7" i="7" s="1"/>
  <c r="L29" i="2"/>
  <c r="L28" i="2"/>
  <c r="Q147" i="2"/>
  <c r="Q23" i="2" s="1"/>
  <c r="Q7" i="2" s="1"/>
  <c r="L142" i="2"/>
  <c r="L10" i="2" s="1"/>
  <c r="L146" i="2"/>
  <c r="L15" i="2" s="1"/>
  <c r="G143" i="2"/>
  <c r="G16" i="2" s="1"/>
  <c r="Q144" i="2"/>
  <c r="Q17" i="2" s="1"/>
  <c r="B144" i="2"/>
  <c r="B17" i="2" s="1"/>
  <c r="V144" i="2"/>
  <c r="V17" i="2" s="1"/>
  <c r="Q141" i="2"/>
  <c r="Q11" i="2" s="1"/>
  <c r="Q145" i="2"/>
  <c r="Q14" i="2" s="1"/>
  <c r="L141" i="2"/>
  <c r="L11" i="2" s="1"/>
  <c r="L145" i="2"/>
  <c r="L14" i="2" s="1"/>
  <c r="G142" i="2"/>
  <c r="G10" i="2" s="1"/>
  <c r="G146" i="2"/>
  <c r="B143" i="2"/>
  <c r="B16" i="2" s="1"/>
  <c r="B141" i="2"/>
  <c r="B11" i="2" s="1"/>
  <c r="V141" i="2"/>
  <c r="V11" i="2" s="1"/>
  <c r="Q142" i="2"/>
  <c r="Q10" i="2" s="1"/>
  <c r="L143" i="2"/>
  <c r="L16" i="2" s="1"/>
  <c r="G144" i="2"/>
  <c r="G17" i="2" s="1"/>
  <c r="B145" i="2"/>
  <c r="B14" i="2" s="1"/>
  <c r="V145" i="2"/>
  <c r="V14" i="2" s="1"/>
  <c r="Q146" i="2"/>
  <c r="Q15" i="2" s="1"/>
  <c r="G141" i="2"/>
  <c r="G11" i="2" s="1"/>
  <c r="B142" i="2"/>
  <c r="B10" i="2" s="1"/>
  <c r="V142" i="2"/>
  <c r="V10" i="2" s="1"/>
  <c r="Q143" i="2"/>
  <c r="Q16" i="2" s="1"/>
  <c r="L144" i="2"/>
  <c r="L17" i="2" s="1"/>
  <c r="G145" i="2"/>
  <c r="G14" i="2" s="1"/>
  <c r="B146" i="2"/>
  <c r="B15" i="2" s="1"/>
  <c r="V146" i="2"/>
  <c r="V15" i="2" s="1"/>
  <c r="F21" i="3"/>
  <c r="G18" i="3" s="1"/>
  <c r="E43" i="3" s="1"/>
  <c r="Y37" i="3"/>
  <c r="Y35" i="3"/>
  <c r="I38" i="3"/>
  <c r="I37" i="3"/>
  <c r="I35" i="3"/>
  <c r="G19" i="3"/>
  <c r="E44" i="3" s="1"/>
  <c r="F28" i="3"/>
  <c r="I36" i="3"/>
  <c r="F26" i="3"/>
  <c r="Y36" i="3"/>
  <c r="G17" i="3"/>
  <c r="E42" i="3" s="1"/>
  <c r="F35" i="18" l="1"/>
  <c r="F36" i="18" s="1"/>
  <c r="F40" i="18" s="1"/>
  <c r="F65" i="18" s="1"/>
  <c r="G32" i="18"/>
  <c r="G34" i="18" s="1"/>
  <c r="G35" i="18" s="1"/>
  <c r="G36" i="18" s="1"/>
  <c r="G40" i="18" s="1"/>
  <c r="G65" i="18" s="1"/>
  <c r="G52" i="18"/>
  <c r="G54" i="18" s="1"/>
  <c r="G55" i="18" s="1"/>
  <c r="G56" i="18" s="1"/>
  <c r="G60" i="18" s="1"/>
  <c r="G66" i="18" s="1"/>
  <c r="Q38" i="3"/>
  <c r="Q36" i="3"/>
  <c r="H43" i="3" s="1"/>
  <c r="B48" i="3" s="1"/>
  <c r="F5" i="7"/>
  <c r="H5" i="7" s="1"/>
  <c r="I5" i="7" s="1"/>
  <c r="F9" i="7"/>
  <c r="H9" i="7" s="1"/>
  <c r="I9" i="7" s="1"/>
  <c r="F24" i="7"/>
  <c r="H24" i="7" s="1"/>
  <c r="I24" i="7" s="1"/>
  <c r="F6" i="7"/>
  <c r="H6" i="7" s="1"/>
  <c r="I6" i="7" s="1"/>
  <c r="F23" i="7"/>
  <c r="H23" i="7" s="1"/>
  <c r="I23" i="7" s="1"/>
  <c r="F10" i="7"/>
  <c r="H10" i="7" s="1"/>
  <c r="I10" i="7" s="1"/>
  <c r="F11" i="7"/>
  <c r="H11" i="7" s="1"/>
  <c r="I11" i="7" s="1"/>
  <c r="F12" i="7"/>
  <c r="H12" i="7" s="1"/>
  <c r="I12" i="7" s="1"/>
  <c r="F18" i="7"/>
  <c r="H18" i="7" s="1"/>
  <c r="I18" i="7" s="1"/>
  <c r="F3" i="7"/>
  <c r="H3" i="7" s="1"/>
  <c r="I3" i="7" s="1"/>
  <c r="H44" i="3"/>
  <c r="B49" i="3" s="1"/>
  <c r="H42" i="3"/>
  <c r="B47" i="3"/>
  <c r="H45" i="3"/>
  <c r="G20" i="3"/>
  <c r="E45" i="3" s="1"/>
  <c r="B50" i="3" s="1"/>
  <c r="H32" i="18" l="1"/>
  <c r="H34" i="18" s="1"/>
  <c r="H35" i="18" s="1"/>
  <c r="H36" i="18" s="1"/>
  <c r="H40" i="18" s="1"/>
  <c r="H65" i="18" s="1"/>
  <c r="H52" i="18"/>
  <c r="H54" i="18" s="1"/>
  <c r="H55" i="18" s="1"/>
  <c r="H56" i="18" s="1"/>
  <c r="H60" i="18" s="1"/>
  <c r="H66" i="18" s="1"/>
  <c r="I52" i="18" l="1"/>
  <c r="I54" i="18" s="1"/>
  <c r="I55" i="18" s="1"/>
  <c r="I56" i="18" s="1"/>
  <c r="I60" i="18" s="1"/>
  <c r="I66" i="18" s="1"/>
  <c r="I32" i="18"/>
  <c r="I34" i="18" s="1"/>
  <c r="J32" i="18" l="1"/>
  <c r="J34" i="18" s="1"/>
  <c r="J35" i="18" s="1"/>
  <c r="J36" i="18" s="1"/>
  <c r="J40" i="18" s="1"/>
  <c r="J65" i="18" s="1"/>
  <c r="J52" i="18"/>
  <c r="J54" i="18" s="1"/>
  <c r="J55" i="18" s="1"/>
  <c r="J56" i="18" s="1"/>
  <c r="J60" i="18" s="1"/>
  <c r="J66" i="18" s="1"/>
  <c r="I35" i="18"/>
  <c r="I36" i="18" s="1"/>
  <c r="I40" i="18" s="1"/>
  <c r="I65" i="18" s="1"/>
  <c r="K52" i="18" l="1"/>
  <c r="K54" i="18" s="1"/>
  <c r="K55" i="18" s="1"/>
  <c r="K56" i="18" s="1"/>
  <c r="K60" i="18" s="1"/>
  <c r="K66" i="18" s="1"/>
  <c r="K32" i="18"/>
  <c r="K34" i="18" s="1"/>
  <c r="K35" i="18" l="1"/>
  <c r="K36" i="18" s="1"/>
  <c r="K40" i="18" s="1"/>
  <c r="K65" i="18" s="1"/>
  <c r="L32" i="18"/>
  <c r="L34" i="18" s="1"/>
  <c r="M34" i="18"/>
  <c r="M35" i="18" s="1"/>
  <c r="M36" i="18" s="1"/>
  <c r="M40" i="18" s="1"/>
  <c r="M54" i="18"/>
  <c r="M55" i="18" s="1"/>
  <c r="M56" i="18" s="1"/>
  <c r="M60" i="18" s="1"/>
  <c r="L52" i="18"/>
  <c r="L54" i="18" s="1"/>
  <c r="L55" i="18" s="1"/>
  <c r="L56" i="18" s="1"/>
  <c r="L60" i="18" s="1"/>
  <c r="L66" i="18" s="1"/>
  <c r="C120" i="18" l="1"/>
  <c r="M66" i="18"/>
  <c r="M65" i="18"/>
  <c r="C115" i="18" s="1"/>
  <c r="L35" i="18"/>
  <c r="L36" i="18" s="1"/>
  <c r="L40" i="18" s="1"/>
  <c r="L65" i="18" s="1"/>
  <c r="C126" i="18" l="1"/>
  <c r="C125" i="18"/>
  <c r="D126" i="18"/>
  <c r="D122" i="18"/>
  <c r="D116" i="18"/>
  <c r="D121" i="18"/>
  <c r="D117" i="18"/>
  <c r="D120" i="18"/>
  <c r="D125" i="18"/>
  <c r="D119" i="18"/>
  <c r="D123" i="18"/>
  <c r="D115" i="18"/>
  <c r="D118" i="18"/>
  <c r="D124" i="18"/>
  <c r="C124" i="18"/>
  <c r="C116" i="18"/>
  <c r="C117" i="18"/>
  <c r="C121" i="18"/>
  <c r="C123" i="18"/>
  <c r="C119" i="18"/>
  <c r="C118" i="18"/>
  <c r="C122" i="18"/>
  <c r="C114" i="18"/>
  <c r="D113" i="18"/>
  <c r="D114" i="18"/>
  <c r="C113" i="18"/>
  <c r="D80" i="18"/>
  <c r="D97" i="18"/>
  <c r="D89" i="18"/>
  <c r="D93" i="18"/>
  <c r="D81" i="18"/>
  <c r="D111" i="18"/>
  <c r="D88" i="18"/>
  <c r="D109" i="18"/>
  <c r="D103" i="18"/>
  <c r="D71" i="18"/>
  <c r="D102" i="18"/>
  <c r="C71" i="18"/>
  <c r="D77" i="18"/>
  <c r="D110" i="18"/>
  <c r="D98" i="18"/>
  <c r="D94" i="18"/>
  <c r="D90" i="18"/>
  <c r="D82" i="18"/>
  <c r="D112" i="18"/>
  <c r="D100" i="18"/>
  <c r="D85" i="18"/>
  <c r="D108" i="18"/>
  <c r="D83" i="18"/>
  <c r="D107" i="18"/>
  <c r="D86" i="18"/>
  <c r="D95" i="18"/>
  <c r="D106" i="18"/>
  <c r="D105" i="18"/>
  <c r="D104" i="18"/>
  <c r="D99" i="18"/>
  <c r="D96" i="18"/>
  <c r="D79" i="18"/>
  <c r="D91" i="18"/>
  <c r="D87" i="18"/>
  <c r="D101" i="18"/>
  <c r="D84" i="18"/>
  <c r="D92" i="18"/>
  <c r="D78" i="18"/>
  <c r="D70" i="18"/>
  <c r="C77" i="18"/>
  <c r="C111" i="18"/>
  <c r="C93" i="18"/>
  <c r="C79" i="18"/>
  <c r="C99" i="18"/>
  <c r="C106" i="18"/>
  <c r="C97" i="18"/>
  <c r="C110" i="18"/>
  <c r="C83" i="18"/>
  <c r="C87" i="18"/>
  <c r="C95" i="18"/>
  <c r="C90" i="18"/>
  <c r="C91" i="18"/>
  <c r="C109" i="18"/>
  <c r="C85" i="18"/>
  <c r="C94" i="18"/>
  <c r="C102" i="18"/>
  <c r="C103" i="18"/>
  <c r="C100" i="18"/>
  <c r="C112" i="18"/>
  <c r="C86" i="18"/>
  <c r="C81" i="18"/>
  <c r="C107" i="18"/>
  <c r="C108" i="18"/>
  <c r="C104" i="18"/>
  <c r="C82" i="18"/>
  <c r="C98" i="18"/>
  <c r="C89" i="18"/>
  <c r="C80" i="18"/>
  <c r="C88" i="18"/>
  <c r="C105" i="18"/>
  <c r="C84" i="18"/>
  <c r="C101" i="18"/>
  <c r="C92" i="18"/>
  <c r="C78" i="18"/>
  <c r="C96" i="18"/>
  <c r="C70" i="18"/>
  <c r="K71" i="18" l="1"/>
  <c r="K70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<sst xmlns="http://schemas.openxmlformats.org/spreadsheetml/2006/main" count="4000" uniqueCount="912">
  <si>
    <t>FACTORES</t>
  </si>
  <si>
    <t>Macrolocalización</t>
  </si>
  <si>
    <t>Arrayán 4.5</t>
  </si>
  <si>
    <t>VALOR</t>
  </si>
  <si>
    <t>MEDIDA</t>
  </si>
  <si>
    <t>Construcción tradicional por habitante</t>
  </si>
  <si>
    <t>m2</t>
  </si>
  <si>
    <t>Construcción alternativa por habitante</t>
  </si>
  <si>
    <t>Algarrobo 4.5</t>
  </si>
  <si>
    <t>Roble 6.0</t>
  </si>
  <si>
    <t>Nogal 6.0</t>
  </si>
  <si>
    <t>Factores</t>
  </si>
  <si>
    <t>Ceibo 3.0</t>
  </si>
  <si>
    <t>Casas por año</t>
  </si>
  <si>
    <t>Detalle</t>
  </si>
  <si>
    <t>Casas por mes</t>
  </si>
  <si>
    <t>Segmentación cultural</t>
  </si>
  <si>
    <t>Ponderación</t>
  </si>
  <si>
    <t>m2 por mes</t>
  </si>
  <si>
    <t>Porcentaje de mercado a abarcar</t>
  </si>
  <si>
    <t>Cantidad</t>
  </si>
  <si>
    <t>Unidad</t>
  </si>
  <si>
    <t>TOTAL</t>
  </si>
  <si>
    <t>Buenos Aires</t>
  </si>
  <si>
    <t>Contenedor de 20 pies</t>
  </si>
  <si>
    <t>unitario</t>
  </si>
  <si>
    <t>Contenedor de 40 pies</t>
  </si>
  <si>
    <t>Santa Fe</t>
  </si>
  <si>
    <t>Tratamiento estructura exterior e interior</t>
  </si>
  <si>
    <t>Córdoba</t>
  </si>
  <si>
    <t>Mendoza</t>
  </si>
  <si>
    <t>Calificación</t>
  </si>
  <si>
    <t>Resultado</t>
  </si>
  <si>
    <t>Membrana líquida (techo)</t>
  </si>
  <si>
    <t>kg</t>
  </si>
  <si>
    <t>lts</t>
  </si>
  <si>
    <t>Pintura latex interior (paredes)</t>
  </si>
  <si>
    <t>Costo de MO capacitada</t>
  </si>
  <si>
    <t>Pintura poliuretánica antióxido interior y exterior (convertidor)</t>
  </si>
  <si>
    <t>Revestimiento interior de paredes y techo</t>
  </si>
  <si>
    <t>mts</t>
  </si>
  <si>
    <t>Cercanía y disponibilidad de proveedores</t>
  </si>
  <si>
    <t xml:space="preserve">Cinta para junta </t>
  </si>
  <si>
    <t>Masilla para junta</t>
  </si>
  <si>
    <t>Tornillos T1 Wafer 8x13</t>
  </si>
  <si>
    <t>Tornillos T2 6x1</t>
  </si>
  <si>
    <t>Semana</t>
  </si>
  <si>
    <t>Cercanía del mercado</t>
  </si>
  <si>
    <t>Lana de vidio 70mm</t>
  </si>
  <si>
    <t>Lunes</t>
  </si>
  <si>
    <t>Martes</t>
  </si>
  <si>
    <t>Miercoles</t>
  </si>
  <si>
    <t>Jueves</t>
  </si>
  <si>
    <t>Viernes</t>
  </si>
  <si>
    <t>Sabado</t>
  </si>
  <si>
    <t>Costo de vida</t>
  </si>
  <si>
    <t>Domingo</t>
  </si>
  <si>
    <t>Durlock 12,5mm</t>
  </si>
  <si>
    <t>Semanas</t>
  </si>
  <si>
    <t>Posibilidad de comercio internacional</t>
  </si>
  <si>
    <t>Ciclos</t>
  </si>
  <si>
    <t>Ciclo 1</t>
  </si>
  <si>
    <t>Listones de PVC blanco encastrables</t>
  </si>
  <si>
    <t>Moldura PVC</t>
  </si>
  <si>
    <t>Días laborales</t>
  </si>
  <si>
    <t>Cerámica sobremesada cocina</t>
  </si>
  <si>
    <t>Cerámica paredes de ducha</t>
  </si>
  <si>
    <t>Total</t>
  </si>
  <si>
    <t>Feriados</t>
  </si>
  <si>
    <t>Pegamento para cerámica y porcelanato</t>
  </si>
  <si>
    <t>Jornada</t>
  </si>
  <si>
    <t>7hs-17hs</t>
  </si>
  <si>
    <t>Descanso</t>
  </si>
  <si>
    <t>12hs-13hs</t>
  </si>
  <si>
    <t>Pastina</t>
  </si>
  <si>
    <t>Pintura interior antihumedad baño</t>
  </si>
  <si>
    <t>Turnos por día</t>
  </si>
  <si>
    <t>Pintura interior antihumedad</t>
  </si>
  <si>
    <t>Ciclo 2</t>
  </si>
  <si>
    <t>Horas por día</t>
  </si>
  <si>
    <t>Instalación eléctrica</t>
  </si>
  <si>
    <t>Jornadas por semana</t>
  </si>
  <si>
    <t>Caja exterior IP 65</t>
  </si>
  <si>
    <t>Total horas prod semana</t>
  </si>
  <si>
    <t>Caja acometida interior</t>
  </si>
  <si>
    <t>Total horas prod mes</t>
  </si>
  <si>
    <t xml:space="preserve">Cables de baja tensión </t>
  </si>
  <si>
    <t>Ciclo 3</t>
  </si>
  <si>
    <t>Factores Objetivos</t>
  </si>
  <si>
    <t>Total horas prod año</t>
  </si>
  <si>
    <t xml:space="preserve">Interruptor automático </t>
  </si>
  <si>
    <t>Costos</t>
  </si>
  <si>
    <t>Interruptor diferencial</t>
  </si>
  <si>
    <t>Ciclo 4</t>
  </si>
  <si>
    <t>Localización</t>
  </si>
  <si>
    <t>Tiempo operativo</t>
  </si>
  <si>
    <t>Caja rectangular galvanizada</t>
  </si>
  <si>
    <t>minutos</t>
  </si>
  <si>
    <t>Transporte de MP</t>
  </si>
  <si>
    <t>Tiempos muertos prod</t>
  </si>
  <si>
    <t>Caja octogonal galvanizada</t>
  </si>
  <si>
    <t>Transporte de PT</t>
  </si>
  <si>
    <t>Tiempo operativo neto</t>
  </si>
  <si>
    <t>Costo MO</t>
  </si>
  <si>
    <t>Bastidor de plástico</t>
  </si>
  <si>
    <t>Total ( C )</t>
  </si>
  <si>
    <t>Tomacorriente 10A con puesta a tierra</t>
  </si>
  <si>
    <t>Recíproco(1/C)</t>
  </si>
  <si>
    <t>Tasa de utilidad</t>
  </si>
  <si>
    <t>Factor objetivo</t>
  </si>
  <si>
    <t>Interruptor de un punto</t>
  </si>
  <si>
    <t>Interruptor de dos puntos</t>
  </si>
  <si>
    <t>Caño de plástico corrugado ignífugo</t>
  </si>
  <si>
    <t>Eficiencia operativa</t>
  </si>
  <si>
    <r>
      <t xml:space="preserve">Buenos Aires    </t>
    </r>
    <r>
      <rPr>
        <b/>
        <sz val="11"/>
        <color theme="1"/>
        <rFont val="Calibri"/>
      </rPr>
      <t xml:space="preserve"> 1</t>
    </r>
  </si>
  <si>
    <t>Ciclo 5</t>
  </si>
  <si>
    <t>Tasa de calidad</t>
  </si>
  <si>
    <t xml:space="preserve">Liston Bajo Alacena 12w 87cm </t>
  </si>
  <si>
    <t>Eficiencia global de planta</t>
  </si>
  <si>
    <t>Aplique exteriror led 9W</t>
  </si>
  <si>
    <t>Reflector led 50W patio</t>
  </si>
  <si>
    <t>Aberturas</t>
  </si>
  <si>
    <t>Ciclo 6</t>
  </si>
  <si>
    <t>Puerta exterior aislada de aluminio 0,8m x2,00m</t>
  </si>
  <si>
    <t>Puerta ventana de aluminio corrediza 1,50m x2,00m</t>
  </si>
  <si>
    <r>
      <t xml:space="preserve">Santa Fe     </t>
    </r>
    <r>
      <rPr>
        <b/>
        <sz val="11"/>
        <color theme="1"/>
        <rFont val="Calibri"/>
      </rPr>
      <t>2</t>
    </r>
  </si>
  <si>
    <t>Postigo aluminio de dos hojas 1,50m x2,00m</t>
  </si>
  <si>
    <t>Ciclo 7</t>
  </si>
  <si>
    <t>Puerta interior de madera placa 0,7m x2,00m</t>
  </si>
  <si>
    <t>Puerta interior de madera corrediza 0,7m x2,00m</t>
  </si>
  <si>
    <t>Ventana corrediza aluminio 1,20m x1,10m</t>
  </si>
  <si>
    <t>Ciclo 8</t>
  </si>
  <si>
    <r>
      <t xml:space="preserve">Córdoba     </t>
    </r>
    <r>
      <rPr>
        <b/>
        <sz val="11"/>
        <color theme="1"/>
        <rFont val="Calibri"/>
      </rPr>
      <t>3</t>
    </r>
  </si>
  <si>
    <t>Postigo aluminio de dos hojas 1,20m x1,10m</t>
  </si>
  <si>
    <r>
      <t xml:space="preserve">Mendoza     </t>
    </r>
    <r>
      <rPr>
        <b/>
        <sz val="11"/>
        <color theme="1"/>
        <rFont val="Calibri"/>
      </rPr>
      <t>4</t>
    </r>
  </si>
  <si>
    <t>Ventiluz aluminio 0,6m x0,26m</t>
  </si>
  <si>
    <t>Ciclo 9</t>
  </si>
  <si>
    <t>Piso</t>
  </si>
  <si>
    <t>Ciclo 10</t>
  </si>
  <si>
    <t>Multilaminado fenólico 18mm</t>
  </si>
  <si>
    <t>Piso vinílico de alto tránsito símil madera</t>
  </si>
  <si>
    <t>Ciclo 11</t>
  </si>
  <si>
    <t>Comparaciones pareadas</t>
  </si>
  <si>
    <t>Suma de preferencias</t>
  </si>
  <si>
    <t>Índice</t>
  </si>
  <si>
    <t>Pegamento para piso vinílico</t>
  </si>
  <si>
    <t>1-2</t>
  </si>
  <si>
    <t>1-3</t>
  </si>
  <si>
    <t>Ciclo 12</t>
  </si>
  <si>
    <t>2-3</t>
  </si>
  <si>
    <t>Porcelanato para piso del baño</t>
  </si>
  <si>
    <r>
      <t xml:space="preserve">Disponibilidad de MP     </t>
    </r>
    <r>
      <rPr>
        <b/>
        <sz val="11"/>
        <color theme="1"/>
        <rFont val="Calibri"/>
      </rPr>
      <t>1</t>
    </r>
  </si>
  <si>
    <t>Zocalo baño</t>
  </si>
  <si>
    <r>
      <t xml:space="preserve">Mercado     </t>
    </r>
    <r>
      <rPr>
        <b/>
        <sz val="11"/>
        <color theme="1"/>
        <rFont val="Calibri"/>
      </rPr>
      <t>2</t>
    </r>
  </si>
  <si>
    <t>Baño</t>
  </si>
  <si>
    <r>
      <t xml:space="preserve">Calidad de vida     </t>
    </r>
    <r>
      <rPr>
        <b/>
        <sz val="11"/>
        <color theme="1"/>
        <rFont val="Calibri"/>
      </rPr>
      <t>3</t>
    </r>
  </si>
  <si>
    <t>Sanitario de loza con depósito</t>
  </si>
  <si>
    <t>Bidet</t>
  </si>
  <si>
    <t>Factor</t>
  </si>
  <si>
    <t>Vanitory con lavamanos</t>
  </si>
  <si>
    <t xml:space="preserve"> MP</t>
  </si>
  <si>
    <t>Mercado</t>
  </si>
  <si>
    <t>Calidad de vida</t>
  </si>
  <si>
    <t>Grifería para agua fría y caliente</t>
  </si>
  <si>
    <t>∑</t>
  </si>
  <si>
    <t>Set de ducha (grifería de comando, flor y canilla de mano)</t>
  </si>
  <si>
    <t>R</t>
  </si>
  <si>
    <t>Extractor de aire pequeño</t>
  </si>
  <si>
    <t>1-4</t>
  </si>
  <si>
    <t>Mampara de aluminio y policarbonato 1,5m x2,00m</t>
  </si>
  <si>
    <t>2-4</t>
  </si>
  <si>
    <t>3-4</t>
  </si>
  <si>
    <t>Rejilla y sifón</t>
  </si>
  <si>
    <r>
      <t xml:space="preserve">Buenos Aires     </t>
    </r>
    <r>
      <rPr>
        <b/>
        <sz val="11"/>
        <color theme="1"/>
        <rFont val="Calibri"/>
      </rPr>
      <t>1</t>
    </r>
  </si>
  <si>
    <t>Set de baño (jabonera, toallero, perchero, etc.)</t>
  </si>
  <si>
    <t>Cocina</t>
  </si>
  <si>
    <t>Bajomesada de melamina</t>
  </si>
  <si>
    <t>Alacena de melamina</t>
  </si>
  <si>
    <r>
      <t xml:space="preserve">Santa Fe     </t>
    </r>
    <r>
      <rPr>
        <b/>
        <sz val="11"/>
        <color theme="1"/>
        <rFont val="Calibri"/>
      </rPr>
      <t>2</t>
    </r>
  </si>
  <si>
    <t>Bacha de acero inoxidable</t>
  </si>
  <si>
    <t>Mesada de granito</t>
  </si>
  <si>
    <r>
      <t xml:space="preserve">Córdoba     </t>
    </r>
    <r>
      <rPr>
        <b/>
        <sz val="11"/>
        <color theme="1"/>
        <rFont val="Calibri"/>
      </rPr>
      <t>3</t>
    </r>
  </si>
  <si>
    <t>Grifería para agua fría (lavarropas)</t>
  </si>
  <si>
    <t>Insatalaciones sanitarias</t>
  </si>
  <si>
    <r>
      <t xml:space="preserve">Mendoza     </t>
    </r>
    <r>
      <rPr>
        <b/>
        <sz val="11"/>
        <color theme="1"/>
        <rFont val="Calibri"/>
      </rPr>
      <t>4</t>
    </r>
  </si>
  <si>
    <t>Instalación de agua fría y caliente con cañería de termofusión</t>
  </si>
  <si>
    <t xml:space="preserve">Desagüe cloacal caño de polipropileno Ø110 mm </t>
  </si>
  <si>
    <t>Climatización</t>
  </si>
  <si>
    <t>Aire acondicionado Split Inverter 2400W frío/calor</t>
  </si>
  <si>
    <t>Instalaciones Sustentables</t>
  </si>
  <si>
    <t>Termotanque solar 180L</t>
  </si>
  <si>
    <t>Kit de ahorro con paneles solares</t>
  </si>
  <si>
    <t>Artefactos eléctricos eficientes</t>
  </si>
  <si>
    <r>
      <t xml:space="preserve">FO   </t>
    </r>
    <r>
      <rPr>
        <b/>
        <sz val="11"/>
        <color theme="1"/>
        <rFont val="Calibri"/>
      </rPr>
      <t>(1)</t>
    </r>
  </si>
  <si>
    <t>Heladera - opcional</t>
  </si>
  <si>
    <t>Heladera</t>
  </si>
  <si>
    <t>Cocina eléctrica - opcional</t>
  </si>
  <si>
    <t>Cocina eléctrica</t>
  </si>
  <si>
    <r>
      <t xml:space="preserve">FS   </t>
    </r>
    <r>
      <rPr>
        <b/>
        <sz val="11"/>
        <color theme="1"/>
        <rFont val="Calibri"/>
      </rPr>
      <t>(1)</t>
    </r>
  </si>
  <si>
    <t>Horno eléctrico - opcional</t>
  </si>
  <si>
    <t>Horno eléctrico</t>
  </si>
  <si>
    <t>Microondas - opcional</t>
  </si>
  <si>
    <r>
      <t xml:space="preserve">FO   </t>
    </r>
    <r>
      <rPr>
        <b/>
        <sz val="11"/>
        <color theme="1"/>
        <rFont val="Calibri"/>
      </rPr>
      <t>(2)</t>
    </r>
  </si>
  <si>
    <t>Microondas</t>
  </si>
  <si>
    <t>Extractor de aire - opcional</t>
  </si>
  <si>
    <t>Extractor de aire</t>
  </si>
  <si>
    <r>
      <t xml:space="preserve">FS   </t>
    </r>
    <r>
      <rPr>
        <b/>
        <sz val="11"/>
        <color theme="1"/>
        <rFont val="Calibri"/>
      </rPr>
      <t>(2)</t>
    </r>
  </si>
  <si>
    <t>Lavarropas - opcional</t>
  </si>
  <si>
    <r>
      <t xml:space="preserve">FO   </t>
    </r>
    <r>
      <rPr>
        <b/>
        <sz val="11"/>
        <color theme="1"/>
        <rFont val="Calibri"/>
      </rPr>
      <t>(3)</t>
    </r>
  </si>
  <si>
    <t>Lavarropas</t>
  </si>
  <si>
    <r>
      <t xml:space="preserve">FS   </t>
    </r>
    <r>
      <rPr>
        <b/>
        <sz val="11"/>
        <color theme="1"/>
        <rFont val="Calibri"/>
      </rPr>
      <t>(3)</t>
    </r>
  </si>
  <si>
    <r>
      <t xml:space="preserve">FO   </t>
    </r>
    <r>
      <rPr>
        <b/>
        <sz val="11"/>
        <color theme="1"/>
        <rFont val="Calibri"/>
      </rPr>
      <t>(4)</t>
    </r>
  </si>
  <si>
    <t>Consumo de materiales por m2 estimado</t>
  </si>
  <si>
    <t>Consumo de materiales estimado Arrayán 4.5</t>
  </si>
  <si>
    <t>Consumo de materiales estimado Algarrobo 4.5</t>
  </si>
  <si>
    <t>Consumo de materiales estimado Roble 6.0</t>
  </si>
  <si>
    <t>Consumo de materiales estimado Nogal 6.0</t>
  </si>
  <si>
    <r>
      <t xml:space="preserve">FS   </t>
    </r>
    <r>
      <rPr>
        <b/>
        <sz val="11"/>
        <color theme="1"/>
        <rFont val="Calibri"/>
      </rPr>
      <t>(4)</t>
    </r>
  </si>
  <si>
    <t>Consumo de materiales estimado Ceibo 3.0</t>
  </si>
  <si>
    <t>Tabique simple (pared)</t>
  </si>
  <si>
    <r>
      <t>MPL</t>
    </r>
    <r>
      <rPr>
        <b/>
        <sz val="11"/>
        <color theme="1"/>
        <rFont val="Calibri"/>
      </rPr>
      <t xml:space="preserve"> (1)</t>
    </r>
    <r>
      <rPr>
        <sz val="11"/>
        <color theme="1"/>
        <rFont val="Calibri"/>
      </rPr>
      <t xml:space="preserve"> Buenos Aires</t>
    </r>
  </si>
  <si>
    <t>K</t>
  </si>
  <si>
    <r>
      <t>MPL</t>
    </r>
    <r>
      <rPr>
        <b/>
        <sz val="11"/>
        <color theme="1"/>
        <rFont val="Calibri"/>
      </rPr>
      <t xml:space="preserve"> (2)</t>
    </r>
    <r>
      <rPr>
        <sz val="11"/>
        <color theme="1"/>
        <rFont val="Calibri"/>
      </rPr>
      <t xml:space="preserve"> Santa Fe</t>
    </r>
  </si>
  <si>
    <t>1-K</t>
  </si>
  <si>
    <t>MPL (3) Córdoba</t>
  </si>
  <si>
    <t>Parante 89mm</t>
  </si>
  <si>
    <r>
      <t xml:space="preserve">MPL </t>
    </r>
    <r>
      <rPr>
        <b/>
        <sz val="11"/>
        <color theme="1"/>
        <rFont val="Calibri"/>
      </rPr>
      <t>(4)</t>
    </r>
    <r>
      <rPr>
        <sz val="11"/>
        <color theme="1"/>
        <rFont val="Calibri"/>
      </rPr>
      <t xml:space="preserve"> Mendoza</t>
    </r>
  </si>
  <si>
    <t>Microlocalización</t>
  </si>
  <si>
    <t>EcoParque Industrial</t>
  </si>
  <si>
    <t>Parque Industrial POLO 52</t>
  </si>
  <si>
    <t>Polígono Industrial Malagueño</t>
  </si>
  <si>
    <t>PILT Villa María</t>
  </si>
  <si>
    <t>PI San Francisco</t>
  </si>
  <si>
    <t>Cinta para junta</t>
  </si>
  <si>
    <t>Costo de transporte</t>
  </si>
  <si>
    <t>Costo de instalación</t>
  </si>
  <si>
    <t>Placa durlock 12,5mm</t>
  </si>
  <si>
    <t>Servicios</t>
  </si>
  <si>
    <t>Presencia de competidores</t>
  </si>
  <si>
    <t>Medio tabique (pared)</t>
  </si>
  <si>
    <t>Vías de comunicación y accesos</t>
  </si>
  <si>
    <t>Ventajas impositivas</t>
  </si>
  <si>
    <t>14,9km</t>
  </si>
  <si>
    <t>Precio dolares</t>
  </si>
  <si>
    <t>vias comunic</t>
  </si>
  <si>
    <t>Bueno</t>
  </si>
  <si>
    <t>Muy bueno</t>
  </si>
  <si>
    <t>Regular</t>
  </si>
  <si>
    <t>Cielo raso</t>
  </si>
  <si>
    <t>Molduras PVC</t>
  </si>
  <si>
    <t>Porcelanato</t>
  </si>
  <si>
    <t>Zócalo</t>
  </si>
  <si>
    <t>Total de materiales Arrayán 4.5</t>
  </si>
  <si>
    <t>Total de materiales Roble 6.0</t>
  </si>
  <si>
    <t>Total de materiales Nogla 6.0</t>
  </si>
  <si>
    <t>Total de materiales Ceibo 3.0</t>
  </si>
  <si>
    <t>unit.</t>
  </si>
  <si>
    <t>Placa durlock 12,5 mm</t>
  </si>
  <si>
    <t>Molduras de PVC</t>
  </si>
  <si>
    <t>Piso vinílico de alto tránsito simil madera</t>
  </si>
  <si>
    <t>Instalación de sanitarios</t>
  </si>
  <si>
    <t>Amoblado e instalación de artefactos eléctricos</t>
  </si>
  <si>
    <t>Fabricación de amoblamientos</t>
  </si>
  <si>
    <t>Colocación de aberturas</t>
  </si>
  <si>
    <t>Pintura interior</t>
  </si>
  <si>
    <t>Revestimiento interior</t>
  </si>
  <si>
    <t>Instalación pluvial</t>
  </si>
  <si>
    <t>Colocación de aislantes</t>
  </si>
  <si>
    <t>Colocación de perfilería</t>
  </si>
  <si>
    <t>Armado de perfilería</t>
  </si>
  <si>
    <t>Tratamiento impermeabilizante y antioxido</t>
  </si>
  <si>
    <t>Colocación de marcos</t>
  </si>
  <si>
    <t>Corte de aberturas, accesos e instalaciones</t>
  </si>
  <si>
    <t>Lavado y acondicionamiento</t>
  </si>
  <si>
    <t>Recepción y control de materiales</t>
  </si>
  <si>
    <t>PERIODOS (Jornada)</t>
  </si>
  <si>
    <t>PORCENTAJE COMPLETADO</t>
  </si>
  <si>
    <t>DURACIÓN</t>
  </si>
  <si>
    <t xml:space="preserve">INICIO </t>
  </si>
  <si>
    <t>ACTIVIDAD</t>
  </si>
  <si>
    <t>% Completado (fuera del plan)</t>
  </si>
  <si>
    <t>Real (fuera del plan)</t>
  </si>
  <si>
    <t>% Completado</t>
  </si>
  <si>
    <t>Duración del plan</t>
  </si>
  <si>
    <t xml:space="preserve"> Periodo resaltado:</t>
  </si>
  <si>
    <t>Seleccione un periodo para resaltarlo a la derecha. A continuación hay una leyenda que describe el gráfico.</t>
  </si>
  <si>
    <t>Nombre</t>
  </si>
  <si>
    <t>Unidad de Medida</t>
  </si>
  <si>
    <t>Merma (%)</t>
  </si>
  <si>
    <t>Stock de Seguridad</t>
  </si>
  <si>
    <t>Demanda Real</t>
  </si>
  <si>
    <t>Demanda Teórica</t>
  </si>
  <si>
    <t>UNIDADES A PRODUCIR</t>
  </si>
  <si>
    <t>Disponibilidad</t>
  </si>
  <si>
    <t>Inventario</t>
  </si>
  <si>
    <t>Actividad</t>
  </si>
  <si>
    <t>Máquinas y herramientas</t>
  </si>
  <si>
    <t>Cantidad de operarios</t>
  </si>
  <si>
    <t>Insumos</t>
  </si>
  <si>
    <t>Tiempo</t>
  </si>
  <si>
    <t>Recepcion y control de MP</t>
  </si>
  <si>
    <t>Documentación</t>
  </si>
  <si>
    <t>Lavado y acondicionado del contenedor</t>
  </si>
  <si>
    <t>Brazo robótico</t>
  </si>
  <si>
    <t xml:space="preserve">Gas, </t>
  </si>
  <si>
    <t>Colocación de pre marcos</t>
  </si>
  <si>
    <t>Soldadora</t>
  </si>
  <si>
    <t>Alambre/electrodo</t>
  </si>
  <si>
    <t>Pintado</t>
  </si>
  <si>
    <t>Compresor y equipo de pintura</t>
  </si>
  <si>
    <t>Membrana líquida, convertidor de óxido</t>
  </si>
  <si>
    <t>Atornillador, sierra sensitiva, amoladora</t>
  </si>
  <si>
    <t>Riel galvanizado, parante galvanizado, perfil omega, tornillos t1, tornillos t2</t>
  </si>
  <si>
    <t>Alambre/electrodo, tornillos t2</t>
  </si>
  <si>
    <t>Film de polietileno, lana de vidrio, multilaminado fenólico, cinta, alambre</t>
  </si>
  <si>
    <t>Instalación electrica y pluvial</t>
  </si>
  <si>
    <t>Cajas eléctricas, caño corrugado, caños para agua, tornillos, tuercas,</t>
  </si>
  <si>
    <t>Revestimiento interior (1)</t>
  </si>
  <si>
    <t>Placas de durlock, cinta, masilla, tornillos</t>
  </si>
  <si>
    <t>Pintura</t>
  </si>
  <si>
    <t>Revestimiento interior (2)</t>
  </si>
  <si>
    <t>Porcelanato, pegamento</t>
  </si>
  <si>
    <t>Revestimiento interior (3)</t>
  </si>
  <si>
    <t>Cielo raso, molduras, zócalos, piso vinílico, tornillos, pegamento para piso vinílico</t>
  </si>
  <si>
    <t>Atornillador, nivel láser, cinta métrica</t>
  </si>
  <si>
    <t>Aberturas, tornillos</t>
  </si>
  <si>
    <t xml:space="preserve">Placas de melamina (MDF), bisagras, tornillos, patas, manijas,  </t>
  </si>
  <si>
    <t>Amoblado</t>
  </si>
  <si>
    <t>Tornillos, anclajes</t>
  </si>
  <si>
    <t>Instalación de artefactos eléctricos</t>
  </si>
  <si>
    <t>Cables de baja tensión, bastidores, llaves e interruptores, tomacorrientes, luminarias, electrodomésticos</t>
  </si>
  <si>
    <t>Perfil solera 35mm</t>
  </si>
  <si>
    <t>Perfil solera 50mm</t>
  </si>
  <si>
    <t>Perfil montante 49mm</t>
  </si>
  <si>
    <t>Lana de vidio 50mm</t>
  </si>
  <si>
    <t>Perfil montante 34mm</t>
  </si>
  <si>
    <t>Tornillo T2 6x1</t>
  </si>
  <si>
    <t>untirario</t>
  </si>
  <si>
    <t>Total de materiales Algarrobo 4.5</t>
  </si>
  <si>
    <t>Arrayan</t>
  </si>
  <si>
    <t>Algarrobo</t>
  </si>
  <si>
    <t>total</t>
  </si>
  <si>
    <t>membrana 20</t>
  </si>
  <si>
    <t>membrana 40</t>
  </si>
  <si>
    <t>p mano</t>
  </si>
  <si>
    <t xml:space="preserve"> union 10cm</t>
  </si>
  <si>
    <t>roble</t>
  </si>
  <si>
    <t>contendor 20 - 58,627</t>
  </si>
  <si>
    <t>contenedor 40 - 114,124</t>
  </si>
  <si>
    <t>aberturas exterior</t>
  </si>
  <si>
    <t>Panel led 12w embutible redondo</t>
  </si>
  <si>
    <t>Lana de vidrio 50mm</t>
  </si>
  <si>
    <t>nogal</t>
  </si>
  <si>
    <t>Ceibo</t>
  </si>
  <si>
    <t>CURSOGRAMA ANALÍTICO</t>
  </si>
  <si>
    <t>Operario / Material / Equipo / Proceso</t>
  </si>
  <si>
    <t>Diagrama Nº 1</t>
  </si>
  <si>
    <t>Hoja 1 de 1</t>
  </si>
  <si>
    <t>RESUMEN</t>
  </si>
  <si>
    <t xml:space="preserve">Actividad </t>
  </si>
  <si>
    <t>Actual</t>
  </si>
  <si>
    <t>Propuesto</t>
  </si>
  <si>
    <t>Operación</t>
  </si>
  <si>
    <t>Control</t>
  </si>
  <si>
    <t>Operación/Control</t>
  </si>
  <si>
    <t>Transporte</t>
  </si>
  <si>
    <t>Almacén</t>
  </si>
  <si>
    <t>Descripción</t>
  </si>
  <si>
    <t>Observaciones</t>
  </si>
  <si>
    <t>Distancia (mts.)</t>
  </si>
  <si>
    <t>Tiempo (min.)</t>
  </si>
  <si>
    <t>D</t>
  </si>
  <si>
    <r>
      <t>.</t>
    </r>
    <r>
      <rPr>
        <sz val="9"/>
        <rFont val="Symbol"/>
        <family val="1"/>
        <charset val="2"/>
      </rPr>
      <t>·</t>
    </r>
  </si>
  <si>
    <t>Traslado de rollos de agropol a zona de trabajo</t>
  </si>
  <si>
    <t>Corte a medida de agropol</t>
  </si>
  <si>
    <t>Colocación de agropol en el techo</t>
  </si>
  <si>
    <t>Colocación de agropol en las paredes del contenedor</t>
  </si>
  <si>
    <t>Colocación de agropol en el piso</t>
  </si>
  <si>
    <t>Traslado de rollos de lana de vidrio a la zona de trabajo</t>
  </si>
  <si>
    <t>Colocación de lana de vidrio en las paredes</t>
  </si>
  <si>
    <t>Control de la lana de vidrio colocada</t>
  </si>
  <si>
    <t>Traslado de placas de multilaminado fenolico a zona de trabajo</t>
  </si>
  <si>
    <t>Corte a medida de placas de multilaminado fenólico</t>
  </si>
  <si>
    <t>Colocación de placas de multilaminado fenólico en piso</t>
  </si>
  <si>
    <t>Control de multilaminado fenólico colocado</t>
  </si>
  <si>
    <t>Traslado de materiales sobrantes a almacén</t>
  </si>
  <si>
    <t>Control de agropol colocado</t>
  </si>
  <si>
    <t>Solo se aplica en las paredes metálicas del contendor, no así en las paredes internas de paneles galvanizados</t>
  </si>
  <si>
    <t>Verificar que esté bien sujeto</t>
  </si>
  <si>
    <t>Verificar que esté bien sujeta</t>
  </si>
  <si>
    <t>Ubicar placas minimizando el desperdicio por cortes</t>
  </si>
  <si>
    <t>Colocarlos en el sector de insumos en uso</t>
  </si>
  <si>
    <t>Depósito de materiales</t>
  </si>
  <si>
    <t>Verificar que esté bien sujeto y cubra la superficie deseada</t>
  </si>
  <si>
    <t>Colocación de lana de vidrio en el techo</t>
  </si>
  <si>
    <r>
      <t>Supervisor:</t>
    </r>
    <r>
      <rPr>
        <sz val="9"/>
        <rFont val="Arial"/>
        <family val="2"/>
      </rPr>
      <t xml:space="preserve"> Jefe de producción</t>
    </r>
  </si>
  <si>
    <r>
      <t xml:space="preserve">Responsable: </t>
    </r>
    <r>
      <rPr>
        <sz val="9"/>
        <rFont val="Arial"/>
        <family val="2"/>
      </rPr>
      <t>Obreros</t>
    </r>
  </si>
  <si>
    <t>Distancia</t>
  </si>
  <si>
    <r>
      <rPr>
        <b/>
        <sz val="9"/>
        <rFont val="Arial"/>
        <family val="2"/>
      </rPr>
      <t xml:space="preserve">Actividad: </t>
    </r>
    <r>
      <rPr>
        <sz val="9"/>
        <rFont val="Arial"/>
        <family val="2"/>
      </rPr>
      <t>Colocación de aislante térmico y acústico</t>
    </r>
  </si>
  <si>
    <r>
      <rPr>
        <b/>
        <sz val="9"/>
        <rFont val="Arial"/>
        <family val="2"/>
      </rPr>
      <t>Objeto:</t>
    </r>
    <r>
      <rPr>
        <sz val="9"/>
        <rFont val="Arial"/>
        <family val="2"/>
      </rPr>
      <t xml:space="preserve"> asegurar la aislación térmica y acústica de la vivienda para proveer confort a los habitantes.</t>
    </r>
  </si>
  <si>
    <t>Elaboró:</t>
  </si>
  <si>
    <t>Revisó:</t>
  </si>
  <si>
    <t>Aprobó:</t>
  </si>
  <si>
    <r>
      <t xml:space="preserve">Lugar: </t>
    </r>
    <r>
      <rPr>
        <sz val="9"/>
        <rFont val="Arial"/>
        <family val="2"/>
      </rPr>
      <t>Zona de trabajo 3.1</t>
    </r>
  </si>
  <si>
    <t>Utilizar redes espcíficas de contención</t>
  </si>
  <si>
    <t>Colocar en tabique simple y medio tabique</t>
  </si>
  <si>
    <t>Código</t>
  </si>
  <si>
    <t>Revisión N°</t>
  </si>
  <si>
    <t>Economía de mejoras</t>
  </si>
  <si>
    <t>Familias</t>
  </si>
  <si>
    <t>Fecha              /          /</t>
  </si>
  <si>
    <t>Procedimiento</t>
  </si>
  <si>
    <t>Responsable</t>
  </si>
  <si>
    <t>Firma</t>
  </si>
  <si>
    <t>Planilla general de inspección</t>
  </si>
  <si>
    <t>Lavado y acondicionamiento del contenedor</t>
  </si>
  <si>
    <t>Tratamiento impermeabilizante y antióxido</t>
  </si>
  <si>
    <t>Colocación de aislante térmico y acústico</t>
  </si>
  <si>
    <t>Control final</t>
  </si>
  <si>
    <t>Código de planilla:</t>
  </si>
  <si>
    <t>Cliente:</t>
  </si>
  <si>
    <t>Fecha inicio:</t>
  </si>
  <si>
    <t>Fecha fin:</t>
  </si>
  <si>
    <t>Actividad de control</t>
  </si>
  <si>
    <t>Control contra factura</t>
  </si>
  <si>
    <t>Control del estado fisico del contenedor</t>
  </si>
  <si>
    <t>Nivel de limpieza luego del lavado</t>
  </si>
  <si>
    <t>Inspección de partes oxidadas</t>
  </si>
  <si>
    <t>Reparación de partes oxidadas</t>
  </si>
  <si>
    <t>Inspección de abolladuras</t>
  </si>
  <si>
    <t>Reparación de abolladuras</t>
  </si>
  <si>
    <t>Corte de aberturas, accesos e instalaciones y colocación de premarcos</t>
  </si>
  <si>
    <t>Termicación de cortes robóticos</t>
  </si>
  <si>
    <t>Terminación de cortes manuales</t>
  </si>
  <si>
    <t>Cubrimiento del techo con membrana</t>
  </si>
  <si>
    <t>Cubrimiento y teminación de la pintura exterior</t>
  </si>
  <si>
    <t>Armado y colocación de perfilería</t>
  </si>
  <si>
    <t>Codificación y cantidad de paneles</t>
  </si>
  <si>
    <t>Ubicación de paneles según plano</t>
  </si>
  <si>
    <t>Sujeción de paneles dentro del contendor</t>
  </si>
  <si>
    <t>Control de soldadura de la puerta del contenedor</t>
  </si>
  <si>
    <t>Sujeción de agropol en techo</t>
  </si>
  <si>
    <t>Sujeción de agropol en paredes</t>
  </si>
  <si>
    <t>Sujeción de agropol en piso</t>
  </si>
  <si>
    <t>Sujeción de lana de vidrio en techo</t>
  </si>
  <si>
    <t>Sujeción de lana de vidrio en paredes</t>
  </si>
  <si>
    <t>Colocación de multilaminado fenólico</t>
  </si>
  <si>
    <t>Estado de cañerías, cajas y módulos</t>
  </si>
  <si>
    <t>Estado de cables y conexiones</t>
  </si>
  <si>
    <t>Estado de cañerías y conexiones</t>
  </si>
  <si>
    <t>Especificaciones según plano</t>
  </si>
  <si>
    <t>Terminación de durlock, junta y masilla</t>
  </si>
  <si>
    <t>Revestimiento y pintura interior</t>
  </si>
  <si>
    <t>Terminación de pintura interior</t>
  </si>
  <si>
    <t>Terminación cerámicos en cocina</t>
  </si>
  <si>
    <t>Terminación cerámicos y zócalos en baño</t>
  </si>
  <si>
    <t>Terminación listones en cielo raso</t>
  </si>
  <si>
    <t>Terminación molduras en cielo raso</t>
  </si>
  <si>
    <t>Fijación de aberturas</t>
  </si>
  <si>
    <t>Funcionamiento de aberturas</t>
  </si>
  <si>
    <t>Fijación de postigos</t>
  </si>
  <si>
    <t>Funcionamiento de postigos</t>
  </si>
  <si>
    <t>Disponibilidad de muebles según plano</t>
  </si>
  <si>
    <t>Instalación de muebles según plano</t>
  </si>
  <si>
    <t>Instalación eléctrica según plano</t>
  </si>
  <si>
    <t>Instalación de partes húmedas en cocina según plano</t>
  </si>
  <si>
    <t>Instalación de partes húmedas en baño según plano</t>
  </si>
  <si>
    <t>Encargado de almacén</t>
  </si>
  <si>
    <t>Obrero</t>
  </si>
  <si>
    <t>Jefe de producción</t>
  </si>
  <si>
    <t>Soldador</t>
  </si>
  <si>
    <t>Pintor</t>
  </si>
  <si>
    <t>Electricista</t>
  </si>
  <si>
    <t>Plomero</t>
  </si>
  <si>
    <t>Conf.</t>
  </si>
  <si>
    <t>No conf.</t>
  </si>
  <si>
    <t>Carpintero</t>
  </si>
  <si>
    <t>Fecha y hora</t>
  </si>
  <si>
    <r>
      <t xml:space="preserve">Lote: </t>
    </r>
    <r>
      <rPr>
        <i/>
        <sz val="10"/>
        <color theme="1"/>
        <rFont val="Arial"/>
        <family val="2"/>
      </rPr>
      <t>(número codificado de vivienda)</t>
    </r>
  </si>
  <si>
    <r>
      <t xml:space="preserve">Unidad: </t>
    </r>
    <r>
      <rPr>
        <i/>
        <sz val="10"/>
        <color theme="1"/>
        <rFont val="Arial"/>
        <family val="2"/>
      </rPr>
      <t>(número codificado de contenedor)</t>
    </r>
  </si>
  <si>
    <t>Inspección de terminación exterior</t>
  </si>
  <si>
    <t>Inspección de terminación interior</t>
  </si>
  <si>
    <t>Funcionamiento de instalaciones y artefactos eléctricos</t>
  </si>
  <si>
    <t>Control de soldadura en la colocación de premarcos</t>
  </si>
  <si>
    <t>Realización de decapado y pasivado de las costuras</t>
  </si>
  <si>
    <t>Materiales con certificado de calidad y buen estado</t>
  </si>
  <si>
    <t>PORCENTAJE</t>
  </si>
  <si>
    <t>Construcción alternativa total</t>
  </si>
  <si>
    <t>Mercado potencial</t>
  </si>
  <si>
    <t>Segmentación socio económica</t>
  </si>
  <si>
    <t>Tamaño promedio de viviendas</t>
  </si>
  <si>
    <t>Precio unitario</t>
  </si>
  <si>
    <t>Precio total</t>
  </si>
  <si>
    <t>Terreno</t>
  </si>
  <si>
    <t>Amortización (años)</t>
  </si>
  <si>
    <t>Armario metálico</t>
  </si>
  <si>
    <t>Mesa de trabajo</t>
  </si>
  <si>
    <t>Banco de madera</t>
  </si>
  <si>
    <t>Escritorio</t>
  </si>
  <si>
    <t>Fichero</t>
  </si>
  <si>
    <t>Sillas ejecutivas</t>
  </si>
  <si>
    <t>Sillas oficina</t>
  </si>
  <si>
    <t>Mesa de reuniones</t>
  </si>
  <si>
    <t>Juego de living</t>
  </si>
  <si>
    <t>Lámpara de pie</t>
  </si>
  <si>
    <t>Perchero de pie</t>
  </si>
  <si>
    <t>Cortadora plasma (Lusqtoff Incut-40)</t>
  </si>
  <si>
    <t>Soldadora MIG 90A (Lusqtoff SML100-7)</t>
  </si>
  <si>
    <t>Taladro inalámbrico (Bosch GSR180)</t>
  </si>
  <si>
    <t>Sierra sensitiva 355mm (Lusqtoff CM-14K)</t>
  </si>
  <si>
    <t>Amoladora angular 115mm (Bosch GWS 850)</t>
  </si>
  <si>
    <t>Atornillador inalámbrico (Bosch GSR 1000)</t>
  </si>
  <si>
    <t>Sierra circular (Bosch GKS 150)</t>
  </si>
  <si>
    <t>Hidrolavadora (Karcher K2 Dakar)</t>
  </si>
  <si>
    <t>Juego Set Kit Herramientas (Lusqtoff Lqcm13)</t>
  </si>
  <si>
    <t>Nivel láser (Bosch GLL 2-12)</t>
  </si>
  <si>
    <t xml:space="preserve">Kit durlock herramientas (Bremen 9pz) </t>
  </si>
  <si>
    <t>Impresora multifunción (Epson Expression XP-2101)</t>
  </si>
  <si>
    <t>Router WiFi (TP-Link Archer C60)</t>
  </si>
  <si>
    <t>Proyector WiFi (Gadnic Iron Style)</t>
  </si>
  <si>
    <t>UPS estabilizador (Lyonn 500)</t>
  </si>
  <si>
    <t>Aire acondicionado central Baja Silueta (Siam 3617N)</t>
  </si>
  <si>
    <t>Computadora de escritorio (AMD ATHLON 3000G)</t>
  </si>
  <si>
    <t>Notebook (Lenovo V130)</t>
  </si>
  <si>
    <t>Ventilador de pared (Liliana VW2416)</t>
  </si>
  <si>
    <t>Caloventor (Liliana CFH400)</t>
  </si>
  <si>
    <t>Sistema de alarma y cámaras (Garnet Alarmas A_KitML_1390)</t>
  </si>
  <si>
    <t>Detector de humo (VideoMax)</t>
  </si>
  <si>
    <t>Matafuego Halon 1kg</t>
  </si>
  <si>
    <t>Matafuego ABC 5kg</t>
  </si>
  <si>
    <t>Matafuego Halon 2,5kg</t>
  </si>
  <si>
    <t>Botiquin de primeros auxilios</t>
  </si>
  <si>
    <t>Dispenser de agua (Aquadisp 40LB)</t>
  </si>
  <si>
    <t>Pava eléctrica (Liliana AP975)</t>
  </si>
  <si>
    <t>Cafetera (Liliana AC960)</t>
  </si>
  <si>
    <t>Microondas (Atma MD1720N)</t>
  </si>
  <si>
    <t>Horno eléctrico (Atma HG2010E)</t>
  </si>
  <si>
    <t>Heladera (Briket 1320 ST)</t>
  </si>
  <si>
    <t>Teléfono inalámbrico (Panasonic KX-TGB110)</t>
  </si>
  <si>
    <t>Teléfono fijo (Philips CRD 150)</t>
  </si>
  <si>
    <t>Teléfono Fax (Panasonic Kx-ft982)</t>
  </si>
  <si>
    <t>Celular (Xiaomi Redmi 8A)</t>
  </si>
  <si>
    <t>Set de vajillas (Tramontina 54 piezas)</t>
  </si>
  <si>
    <t>Construcción nave industrial</t>
  </si>
  <si>
    <t>Porton de acceso</t>
  </si>
  <si>
    <t>Construcción oficinas</t>
  </si>
  <si>
    <t>Trailer para contenedor</t>
  </si>
  <si>
    <t>Extractor eólico 24'</t>
  </si>
  <si>
    <t>Rieles (ángulo 1 1/2' x1/4')</t>
  </si>
  <si>
    <t>Rack pallet</t>
  </si>
  <si>
    <t>Estantería metálica</t>
  </si>
  <si>
    <t>Estantería oficina</t>
  </si>
  <si>
    <t>Mesa soldadura</t>
  </si>
  <si>
    <t>Locker metálico</t>
  </si>
  <si>
    <t>Malacate eléctrico 1HP</t>
  </si>
  <si>
    <t>Tanque de agua 2750L</t>
  </si>
  <si>
    <t>Bomba de agua 1/2 HP</t>
  </si>
  <si>
    <t>Windows</t>
  </si>
  <si>
    <t>AutoCAD</t>
  </si>
  <si>
    <t>-</t>
  </si>
  <si>
    <t>Autoelevador 2.5tn (Heli)</t>
  </si>
  <si>
    <t>Brazo robótico (JZJRT 1622mm)</t>
  </si>
  <si>
    <t>Cabina de pintura y secado (AutoCare AC-8000)</t>
  </si>
  <si>
    <t>Túnel de lavado por arcos (SolarGroup TouchFree)</t>
  </si>
  <si>
    <t>Costo unitario</t>
  </si>
  <si>
    <t>Costo total</t>
  </si>
  <si>
    <t>Perfil solera 70mm</t>
  </si>
  <si>
    <t>Perfil montante 70mm</t>
  </si>
  <si>
    <t>Perfil montante 35mm</t>
  </si>
  <si>
    <t>Extractor de aire 4'</t>
  </si>
  <si>
    <t>kit postigo corredizo 3m</t>
  </si>
  <si>
    <t>Kit postigo corredizo 2,5m</t>
  </si>
  <si>
    <t>m2 melamina</t>
  </si>
  <si>
    <t>Bajomesada</t>
  </si>
  <si>
    <t>Alacena</t>
  </si>
  <si>
    <t>Tirador aluminio</t>
  </si>
  <si>
    <t>Corredera</t>
  </si>
  <si>
    <t>Piston</t>
  </si>
  <si>
    <t>Bisagra</t>
  </si>
  <si>
    <t>Pileta lavamanos</t>
  </si>
  <si>
    <t>Mueblería</t>
  </si>
  <si>
    <t>Desayunador</t>
  </si>
  <si>
    <t>Mueblería dormitorios</t>
  </si>
  <si>
    <t>Vestidor</t>
  </si>
  <si>
    <t>Placard</t>
  </si>
  <si>
    <t>Comoda</t>
  </si>
  <si>
    <t>Mesa de luz flotante</t>
  </si>
  <si>
    <t>Vanitory</t>
  </si>
  <si>
    <t>Botiquin</t>
  </si>
  <si>
    <t>Mesa luz flotante</t>
  </si>
  <si>
    <t>pie de barra</t>
  </si>
  <si>
    <t>Potencia (Kw)</t>
  </si>
  <si>
    <t>Potencia total (Kw)</t>
  </si>
  <si>
    <t>Factor de simultaneidad</t>
  </si>
  <si>
    <t>Potencia activa (Kw)</t>
  </si>
  <si>
    <t>Iluminación oficinas</t>
  </si>
  <si>
    <t>Iluminación planta</t>
  </si>
  <si>
    <t>Iluminación exterior</t>
  </si>
  <si>
    <t>Cargador de baterías (Bosch GAL1880 CV)</t>
  </si>
  <si>
    <t>Lijadora orbital (Makita M9204G)</t>
  </si>
  <si>
    <t>Compresor 100l 4HP (Lusqtoff Lc40100)</t>
  </si>
  <si>
    <t>Iluminación planta (150W)</t>
  </si>
  <si>
    <t>Iluminación exterior (100W)</t>
  </si>
  <si>
    <t>Iluminación oficinas (18W)</t>
  </si>
  <si>
    <t>Kw/H mensual</t>
  </si>
  <si>
    <t>Horas mensuales</t>
  </si>
  <si>
    <t>Cabina de pintura - luminaria (AutoCare AC-8000)</t>
  </si>
  <si>
    <t>Cabina de secado - ventiladores (AutoCare AC-8000)</t>
  </si>
  <si>
    <t>Costo de energía eléctrica</t>
  </si>
  <si>
    <t>Fijo</t>
  </si>
  <si>
    <t>Variable</t>
  </si>
  <si>
    <t>Costo Fijo</t>
  </si>
  <si>
    <t>Costo variable por energía demandada</t>
  </si>
  <si>
    <t>Total anual</t>
  </si>
  <si>
    <t>Instalación de Gas para cabina de secado</t>
  </si>
  <si>
    <t>Instalación gas</t>
  </si>
  <si>
    <t>Manometro</t>
  </si>
  <si>
    <t>Regulador salida</t>
  </si>
  <si>
    <t>$ unitario</t>
  </si>
  <si>
    <t>$ total</t>
  </si>
  <si>
    <t>Cañería</t>
  </si>
  <si>
    <t>Llave de corte</t>
  </si>
  <si>
    <t>Cargas sociales</t>
  </si>
  <si>
    <t>Jornal Básico</t>
  </si>
  <si>
    <t>Licencias ordinarias</t>
  </si>
  <si>
    <t>Licencias por enfermedad</t>
  </si>
  <si>
    <t>Licencias especiales</t>
  </si>
  <si>
    <t>Feriados nacionales</t>
  </si>
  <si>
    <t>Feriados imprevistos</t>
  </si>
  <si>
    <t>Total licencias</t>
  </si>
  <si>
    <t>Subtotal</t>
  </si>
  <si>
    <t>Aportes patronales</t>
  </si>
  <si>
    <t>PAMI (Ley N° 19.032)</t>
  </si>
  <si>
    <t>Jubilaciones y pensiones (Ley N° 24.241)</t>
  </si>
  <si>
    <t>Obra social (Ley N° 23.660)</t>
  </si>
  <si>
    <t>Asignaciones familiares (Ley N° 24.714)</t>
  </si>
  <si>
    <t>Fondo Nacional de Empleo (Ley N° 24.013)</t>
  </si>
  <si>
    <t>Porcentaje de Cargas Sociales</t>
  </si>
  <si>
    <t>Ausencias pagas</t>
  </si>
  <si>
    <t>SAC (8,33%)</t>
  </si>
  <si>
    <t>Seguro de vida</t>
  </si>
  <si>
    <t>ART</t>
  </si>
  <si>
    <t>Sindicato UOM</t>
  </si>
  <si>
    <t>Despidos (5%)</t>
  </si>
  <si>
    <t>Ropa de trabajo (4%)</t>
  </si>
  <si>
    <t>Puesto</t>
  </si>
  <si>
    <t>Sueldo por hora</t>
  </si>
  <si>
    <t>Sueldo bruto</t>
  </si>
  <si>
    <t>Cargas Sociales</t>
  </si>
  <si>
    <t>Sueldo neto</t>
  </si>
  <si>
    <t>Gerente</t>
  </si>
  <si>
    <t>Jefe de Oficina Técnica</t>
  </si>
  <si>
    <t>Jefe de Producción</t>
  </si>
  <si>
    <t>Jefe de Comercialización</t>
  </si>
  <si>
    <t>Recepcionista</t>
  </si>
  <si>
    <t>Concepto</t>
  </si>
  <si>
    <t>Costo Unitario</t>
  </si>
  <si>
    <t>Costo Variable</t>
  </si>
  <si>
    <t>Costo Total</t>
  </si>
  <si>
    <t>Costos Indirectos de Fabricación</t>
  </si>
  <si>
    <t>Costos de Administración</t>
  </si>
  <si>
    <t>Costos de Comercialización</t>
  </si>
  <si>
    <t>Costos de Producción</t>
  </si>
  <si>
    <t>Mano de Obra</t>
  </si>
  <si>
    <t>Materia Prima</t>
  </si>
  <si>
    <t>Energía Eléctrica</t>
  </si>
  <si>
    <t>Teléfono/Internet</t>
  </si>
  <si>
    <t>CIF</t>
  </si>
  <si>
    <t>.</t>
  </si>
  <si>
    <t>Amortizaciones Mes</t>
  </si>
  <si>
    <t>Previsión para Mantenimiento y Mejoras</t>
  </si>
  <si>
    <t>Amortizaciones Mensuales</t>
  </si>
  <si>
    <t>Servicio de Teléfono e Internet</t>
  </si>
  <si>
    <t>Referencias</t>
  </si>
  <si>
    <t>Guión: Costo Admin.</t>
  </si>
  <si>
    <t>Punto: Costo CIF</t>
  </si>
  <si>
    <t>Gerencia</t>
  </si>
  <si>
    <t>Gastos Varios</t>
  </si>
  <si>
    <t>Honorarios de Contador</t>
  </si>
  <si>
    <t>Insumos y Artículos de Librería</t>
  </si>
  <si>
    <t>Artículos de Limpieza</t>
  </si>
  <si>
    <t>Comestibles</t>
  </si>
  <si>
    <t>Servicio de Limpieza</t>
  </si>
  <si>
    <t xml:space="preserve">Otros </t>
  </si>
  <si>
    <t>ADMIN</t>
  </si>
  <si>
    <t>Otros:</t>
  </si>
  <si>
    <t>Softwares</t>
  </si>
  <si>
    <t>Mantenimiento</t>
  </si>
  <si>
    <t>Antivirus</t>
  </si>
  <si>
    <t>Comisiones por Ventas</t>
  </si>
  <si>
    <t>Folletería</t>
  </si>
  <si>
    <t>Campaña de Publicidad</t>
  </si>
  <si>
    <t>Champagne de Cortesía para Clientes</t>
  </si>
  <si>
    <t>Comercializ.</t>
  </si>
  <si>
    <t>Folletería:</t>
  </si>
  <si>
    <t>Carpeta corporativa</t>
  </si>
  <si>
    <t>Folleto cortporativo</t>
  </si>
  <si>
    <t>Ficha de garantía</t>
  </si>
  <si>
    <t>Sellos</t>
  </si>
  <si>
    <t>Otros Costos</t>
  </si>
  <si>
    <t>Primeros Auxilios y Emergencias</t>
  </si>
  <si>
    <t>Amort: Locker, iluminacion ext, asientos, etc.</t>
  </si>
  <si>
    <t>/</t>
  </si>
  <si>
    <t>Barra: Otros Costos</t>
  </si>
  <si>
    <t>Seguridad: expensas del parque ind</t>
  </si>
  <si>
    <t>Primeros aux: Botiquin, matafuegos y alarma</t>
  </si>
  <si>
    <t>TOTALES</t>
  </si>
  <si>
    <t>Seguridad y Vigilancia</t>
  </si>
  <si>
    <t>Catering de reuniones</t>
  </si>
  <si>
    <t>Arreglos y mejoras edilicias</t>
  </si>
  <si>
    <t>15 minutos</t>
  </si>
  <si>
    <t>3 horas</t>
  </si>
  <si>
    <t>8 minutos</t>
  </si>
  <si>
    <t>8 horas</t>
  </si>
  <si>
    <t>5 horas</t>
  </si>
  <si>
    <t>32 horas</t>
  </si>
  <si>
    <t>16 horas</t>
  </si>
  <si>
    <t>24 horas</t>
  </si>
  <si>
    <t>4 horas</t>
  </si>
  <si>
    <t>80 horas</t>
  </si>
  <si>
    <t>40 horas</t>
  </si>
  <si>
    <t>Espatulas, escuadra, cinta métrica</t>
  </si>
  <si>
    <t>Trincheta, sierra ciruclar</t>
  </si>
  <si>
    <t>Soldadora , atornillador</t>
  </si>
  <si>
    <t>Atornillador, destornilladores, cinta métrica</t>
  </si>
  <si>
    <t>Atornillador, espatulas, escuadra, cinta métrica</t>
  </si>
  <si>
    <t>Atornillador</t>
  </si>
  <si>
    <t>Sierra circular, taladro, atornillador, cinta métrica, escuadra, lijadora</t>
  </si>
  <si>
    <t>Taladro, atornillador, nivel láser, cinta métrica</t>
  </si>
  <si>
    <t>Taladro, atornillador, nivel láser, cinta métrica, llaves, destornilladores</t>
  </si>
  <si>
    <t>Tiempo para 45 m2</t>
  </si>
  <si>
    <t>Duración estimada de procesos</t>
  </si>
  <si>
    <t>Tiempo para 60 m2</t>
  </si>
  <si>
    <t>Tiempo para 30 m2</t>
  </si>
  <si>
    <t>Modelo</t>
  </si>
  <si>
    <t>45 m2</t>
  </si>
  <si>
    <t>60 m2</t>
  </si>
  <si>
    <t>30 m2</t>
  </si>
  <si>
    <t>Carros sobre rieles (dos por contenedor)</t>
  </si>
  <si>
    <r>
      <t>Materiales:</t>
    </r>
    <r>
      <rPr>
        <sz val="9"/>
        <rFont val="Arial"/>
        <family val="2"/>
      </rPr>
      <t xml:space="preserve"> agropol 200 micr, cinta, lana de vidrio 70mm, alambre, red, precintos, multilaminado fenólico.</t>
    </r>
  </si>
  <si>
    <t>Planificador de proyectos - Modelos 6.0</t>
  </si>
  <si>
    <t>Planificador de proyectos - Modelos 4.5</t>
  </si>
  <si>
    <t>Planificador de proyectos - Modelos 3.0</t>
  </si>
  <si>
    <t>Brazo robótico (JZJ10A-160 1622mm)</t>
  </si>
  <si>
    <t>m2 por año</t>
  </si>
  <si>
    <t>Postigo corredizo 1,50m x2,00m</t>
  </si>
  <si>
    <t>Postigo corredizo 1,20m x1,10m</t>
  </si>
  <si>
    <t>Extractor de aire 4"</t>
  </si>
  <si>
    <t>Mueblería Dormitorios</t>
  </si>
  <si>
    <t>Cómoda</t>
  </si>
  <si>
    <t>Lana de vidrio 70mm</t>
  </si>
  <si>
    <t>Mueblería para baño (botiquín y vanitory)</t>
  </si>
  <si>
    <t>Grifería para agua fría y caliente (baño)</t>
  </si>
  <si>
    <t>Grifería para agua fría y caliente (cocina)</t>
  </si>
  <si>
    <t>16 minutos</t>
  </si>
  <si>
    <t>30 minutos</t>
  </si>
  <si>
    <t>2 horas        30 minutos</t>
  </si>
  <si>
    <t>10 horas</t>
  </si>
  <si>
    <t>1 hora           15 minutos</t>
  </si>
  <si>
    <t>12 horas</t>
  </si>
  <si>
    <t>Sanitario, bidet, vanitory, set de ducha, rejilla y sifón, set de baño, grifería baño, grifería y mesada de cocina</t>
  </si>
  <si>
    <t xml:space="preserve">16 minutos </t>
  </si>
  <si>
    <t>20 horas</t>
  </si>
  <si>
    <t>48 horas</t>
  </si>
  <si>
    <t>Modelo de Vivienda</t>
  </si>
  <si>
    <t>4.5</t>
  </si>
  <si>
    <r>
      <t xml:space="preserve">Espera                   </t>
    </r>
    <r>
      <rPr>
        <sz val="17"/>
        <rFont val="Arial"/>
        <family val="2"/>
      </rPr>
      <t>D</t>
    </r>
  </si>
  <si>
    <t>Agropol 200 micrones</t>
  </si>
  <si>
    <t>Cinta embalaje</t>
  </si>
  <si>
    <t xml:space="preserve">Alambre galvanizado n°16 para Lana de vidrio </t>
  </si>
  <si>
    <t>Red para lana de vidrio</t>
  </si>
  <si>
    <t>Costos unitarios</t>
  </si>
  <si>
    <t>item</t>
  </si>
  <si>
    <t>Costos Variables</t>
  </si>
  <si>
    <t>Costos Fijos</t>
  </si>
  <si>
    <t>Medidor Gas Natural 10m3/hora</t>
  </si>
  <si>
    <t>Descripción de Energía Eléctrica</t>
  </si>
  <si>
    <t>Costo variable por m3 de consumo</t>
  </si>
  <si>
    <r>
      <t xml:space="preserve">Costo de gas natural </t>
    </r>
    <r>
      <rPr>
        <sz val="11"/>
        <color theme="1"/>
        <rFont val="Arial"/>
        <family val="2"/>
      </rPr>
      <t>(Categoría P1 de 0 a 1000 m3)</t>
    </r>
  </si>
  <si>
    <t>Consumo de Gas</t>
  </si>
  <si>
    <t>m3/hora</t>
  </si>
  <si>
    <t>Horas de uso por contenedor</t>
  </si>
  <si>
    <t>Contenedores por mes</t>
  </si>
  <si>
    <t>TOTAL m3/mes</t>
  </si>
  <si>
    <t>Gas Natural</t>
  </si>
  <si>
    <t xml:space="preserve"> jornadas laborales</t>
  </si>
  <si>
    <t>de Administración</t>
  </si>
  <si>
    <t>de Comercialización</t>
  </si>
  <si>
    <t>de Producción</t>
  </si>
  <si>
    <t>Túnel de lavado por arcos, lijadora, espátulas</t>
  </si>
  <si>
    <t>Agua, detergente, hojas de lija, masilla</t>
  </si>
  <si>
    <t>45 minutos</t>
  </si>
  <si>
    <t>Control de reparaciones y terminaciones del contenedor</t>
  </si>
  <si>
    <t>Precio de dólar + impuestos</t>
  </si>
  <si>
    <t>Precio de Venta ($)</t>
  </si>
  <si>
    <t>Costo en Dólares</t>
  </si>
  <si>
    <t>Precio de Venta (USD)</t>
  </si>
  <si>
    <t>Rentabilidad</t>
  </si>
  <si>
    <t>Punto de Equilibrio Ponderado</t>
  </si>
  <si>
    <t>Producto</t>
  </si>
  <si>
    <t>Precio</t>
  </si>
  <si>
    <t xml:space="preserve">Costo Variable </t>
  </si>
  <si>
    <t>Contribución Marginal</t>
  </si>
  <si>
    <t>Contribución Marginal Ponderada</t>
  </si>
  <si>
    <t>Cantidad Vendida</t>
  </si>
  <si>
    <t>Venta Total</t>
  </si>
  <si>
    <t>Contribución Marginal Total</t>
  </si>
  <si>
    <t>Punto de Equilibrio en unidades</t>
  </si>
  <si>
    <t>Punto de Equilibrio en Pesos</t>
  </si>
  <si>
    <t>Costo Fijo Total</t>
  </si>
  <si>
    <t>Amortizaciones</t>
  </si>
  <si>
    <t>Costos Fijos Erogables</t>
  </si>
  <si>
    <t>Comprobación de Punto de Equilibrio</t>
  </si>
  <si>
    <t>Comprobación de Punto de Cierre</t>
  </si>
  <si>
    <t>Capital de Trabajo</t>
  </si>
  <si>
    <t>Mes</t>
  </si>
  <si>
    <t>Costo fijo sin amortización</t>
  </si>
  <si>
    <t>Stock MP e Insumos</t>
  </si>
  <si>
    <t>Casas Vendidas al Año</t>
  </si>
  <si>
    <t>Costo de Inventario</t>
  </si>
  <si>
    <t>Ingresos por Ventas Mensuales</t>
  </si>
  <si>
    <t>Ingresos por Ventas Anuales</t>
  </si>
  <si>
    <t>Ingresos por ventas contado (50%)</t>
  </si>
  <si>
    <t>Ingresos por ventas crédito (25%)</t>
  </si>
  <si>
    <t>Períodos</t>
  </si>
  <si>
    <t>Inversión en activo fijo</t>
  </si>
  <si>
    <t>Activo de trabajo</t>
  </si>
  <si>
    <t>Valor de desecho</t>
  </si>
  <si>
    <t>Ingresos por ventas</t>
  </si>
  <si>
    <t>Otros ingresos</t>
  </si>
  <si>
    <t>Costos variables</t>
  </si>
  <si>
    <t>Margen bruto</t>
  </si>
  <si>
    <t>Utilidad antes de impuestos</t>
  </si>
  <si>
    <t>Impuestos</t>
  </si>
  <si>
    <t>Utilidades después de impuestos</t>
  </si>
  <si>
    <t>Amortización de capital- crédito</t>
  </si>
  <si>
    <t>Total utilidad neta</t>
  </si>
  <si>
    <t>Intereses por créditos</t>
  </si>
  <si>
    <t>Préstamos de créditos</t>
  </si>
  <si>
    <t>Cash Flow con Financiación Propia</t>
  </si>
  <si>
    <t>Cash Flow con Financiación de Terceros</t>
  </si>
  <si>
    <t>Costos Fijos (con amortizaciones)</t>
  </si>
  <si>
    <t>Años</t>
  </si>
  <si>
    <t>Inmueble</t>
  </si>
  <si>
    <t>Muebles y Útiles</t>
  </si>
  <si>
    <t>Máquinas y Equipos</t>
  </si>
  <si>
    <t>Herramientas</t>
  </si>
  <si>
    <t>Computación e Informática</t>
  </si>
  <si>
    <t>Rodados</t>
  </si>
  <si>
    <t>Instalaciones</t>
  </si>
  <si>
    <t>Electrodomésticos</t>
  </si>
  <si>
    <t>Sistema Francés</t>
  </si>
  <si>
    <t>TEA</t>
  </si>
  <si>
    <t>Cuotas</t>
  </si>
  <si>
    <t>Total cuota</t>
  </si>
  <si>
    <t>Capital</t>
  </si>
  <si>
    <t xml:space="preserve">Interés </t>
  </si>
  <si>
    <t>Saldo</t>
  </si>
  <si>
    <t>Préstamo</t>
  </si>
  <si>
    <t>Períodos (meses)</t>
  </si>
  <si>
    <t>TEM</t>
  </si>
  <si>
    <t>Proyectos</t>
  </si>
  <si>
    <t>Sin Financiamiento</t>
  </si>
  <si>
    <t>Con Financiamiento</t>
  </si>
  <si>
    <t>VAN</t>
  </si>
  <si>
    <t>TIR</t>
  </si>
  <si>
    <t>PR</t>
  </si>
  <si>
    <t>TMAR</t>
  </si>
  <si>
    <t>Curva de Fisher</t>
  </si>
  <si>
    <t>Tasas</t>
  </si>
  <si>
    <t>VAN Sin Financiamiento</t>
  </si>
  <si>
    <t>VAN Con Financiamiento</t>
  </si>
  <si>
    <t>Índice de Leverage</t>
  </si>
  <si>
    <t>Valores</t>
  </si>
  <si>
    <t>IL (VAN)</t>
  </si>
  <si>
    <t>IL (TIR)</t>
  </si>
  <si>
    <t>Introduzca un valor en unidades a producir</t>
  </si>
  <si>
    <t>Posicionamiento del contenedor para corte robótico</t>
  </si>
  <si>
    <t>Amortizaciones de Producción Anuales</t>
  </si>
  <si>
    <t>Costo anual de Amortizaciones</t>
  </si>
  <si>
    <t>Amortizaciones de Administración Anuales</t>
  </si>
  <si>
    <t>Amortizaciones de Producción Mensuales</t>
  </si>
  <si>
    <t>Amortizaciones de Administración Mensuales</t>
  </si>
  <si>
    <t>Amortizaciones de Otros Costos Anuales</t>
  </si>
  <si>
    <t>Amortizaciones de Otros Costos Mensuales</t>
  </si>
  <si>
    <t>Precio del m2 en $</t>
  </si>
  <si>
    <t>Precio del m2 en USD</t>
  </si>
  <si>
    <t>Punto de Cierre en unidades</t>
  </si>
  <si>
    <t>Punto de Cierre en Pesos</t>
  </si>
  <si>
    <t>VAN, TIR y PR</t>
  </si>
  <si>
    <t>Inversión</t>
  </si>
  <si>
    <t>Lavadero de Vehículos</t>
  </si>
  <si>
    <t>Costo estimado</t>
  </si>
  <si>
    <t>Precio de lavado</t>
  </si>
  <si>
    <t>Lavados por día</t>
  </si>
  <si>
    <t>Ingresos mensuales</t>
  </si>
  <si>
    <t>Ingresos anuales</t>
  </si>
  <si>
    <t>Recursos</t>
  </si>
  <si>
    <t>Detergente</t>
  </si>
  <si>
    <t>Agua</t>
  </si>
  <si>
    <t>kWh</t>
  </si>
  <si>
    <t>litros</t>
  </si>
  <si>
    <t>Costo por lavado</t>
  </si>
  <si>
    <t>Consumo por minuto</t>
  </si>
  <si>
    <t>Consumo por lavado</t>
  </si>
  <si>
    <t>kW</t>
  </si>
  <si>
    <t>por litro</t>
  </si>
  <si>
    <t>Tiempo de lavado (en min.)</t>
  </si>
  <si>
    <t>Agua por lavado</t>
  </si>
  <si>
    <t>Proyección</t>
  </si>
  <si>
    <t>Cálculos Auxiliares</t>
  </si>
  <si>
    <t>Ingreso diario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</si>
</sst>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.00_-;\-&quot;$&quot;\ * #,##0.00_-;_-&quot;$&quot;\ * &quot;-&quot;??_-;_-@"/>
    <numFmt numFmtId="167" formatCode="0.0000000000"/>
    <numFmt numFmtId="168" formatCode="0.0"/>
    <numFmt numFmtId="169" formatCode="[h]:mm:ss;@"/>
    <numFmt numFmtId="170" formatCode="h:mm:ss;@"/>
    <numFmt numFmtId="171" formatCode="_-* #,##0.00\ &quot;€&quot;_-;\-* #,##0.00\ &quot;€&quot;_-;_-* &quot;-&quot;??\ &quot;€&quot;_-;_-@_-"/>
    <numFmt numFmtId="172" formatCode="_-* #,##0_-;\-* #,##0_-;_-* &quot;-&quot;??_-;_-@_-"/>
    <numFmt numFmtId="173" formatCode="_-* #,##0.0_-;\-* #,##0.0_-;_-* &quot;-&quot;??_-;_-@_-"/>
    <numFmt numFmtId="174" formatCode="_-* #,##0.00000_-;\-* #,##0.00000_-;_-* &quot;-&quot;??_-;_-@_-"/>
    <numFmt numFmtId="175" formatCode="_-* #,##0.000000_-;\-* #,##0.000000_-;_-* &quot;-&quot;??_-;_-@_-"/>
    <numFmt numFmtId="176" formatCode="0.000"/>
    <numFmt numFmtId="177" formatCode="_-&quot;$&quot;\ * #,##0.000_-;\-&quot;$&quot;\ * #,##0.000_-;_-&quot;$&quot;\ * &quot;-&quot;???_-;_-@_-"/>
    <numFmt numFmtId="178" formatCode="0.0%"/>
    <numFmt numFmtId="179" formatCode="&quot;$&quot;\ #,##0.00"/>
    <numFmt numFmtId="180" formatCode="_ &quot;$&quot;\ * #,##0.00_ ;_ &quot;$&quot;\ * \-#,##0.00_ ;_ &quot;$&quot;\ * &quot;-&quot;??_ ;_ @_ "/>
    <numFmt numFmtId="181" formatCode="&quot;$&quot;\ #,##0.00;[Red]&quot;$&quot;\ \-#,##0.00"/>
    <numFmt numFmtId="182" formatCode="_-&quot;$&quot;\ * #,##0.00_-;\-&quot;$&quot;\ * #,##0.00_-;_-&quot;$&quot;\ * &quot;-&quot;???_-;_-@_-"/>
  </numFmts>
  <fonts count="62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</font>
    <font>
      <b/>
      <sz val="16"/>
      <color theme="1"/>
      <name val="Bankgothic lt bt"/>
    </font>
    <font>
      <sz val="11"/>
      <name val="Arial"/>
    </font>
    <font>
      <sz val="11"/>
      <color theme="1"/>
      <name val="Calibri"/>
    </font>
    <font>
      <b/>
      <sz val="11"/>
      <color theme="1"/>
      <name val="Calibri"/>
    </font>
    <font>
      <i/>
      <sz val="11"/>
      <color theme="1"/>
      <name val="Calibri"/>
    </font>
    <font>
      <sz val="11"/>
      <color theme="1"/>
      <name val="Calibri"/>
    </font>
    <font>
      <sz val="11"/>
      <color theme="0"/>
      <name val="Calibri"/>
    </font>
    <font>
      <sz val="11"/>
      <color theme="1"/>
      <name val="Arial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1"/>
      <color theme="1" tint="0.24994659260841701"/>
      <name val="Calibri"/>
      <family val="2"/>
      <scheme val="major"/>
    </font>
    <font>
      <b/>
      <sz val="13"/>
      <color theme="7"/>
      <name val="Calibri"/>
      <family val="2"/>
      <scheme val="major"/>
    </font>
    <font>
      <b/>
      <sz val="13"/>
      <color theme="7"/>
      <name val="Calibri"/>
      <family val="2"/>
    </font>
    <font>
      <sz val="12"/>
      <color theme="1" tint="0.24994659260841701"/>
      <name val="Calibri"/>
      <family val="2"/>
    </font>
    <font>
      <b/>
      <sz val="13"/>
      <color theme="1" tint="0.24994659260841701"/>
      <name val="Calibri"/>
      <family val="2"/>
      <scheme val="major"/>
    </font>
    <font>
      <b/>
      <sz val="13"/>
      <color theme="1" tint="0.24994659260841701"/>
      <name val="Calibri"/>
      <family val="2"/>
    </font>
    <font>
      <b/>
      <sz val="11"/>
      <color theme="1" tint="0.34998626667073579"/>
      <name val="Calibri"/>
      <family val="2"/>
      <scheme val="minor"/>
    </font>
    <font>
      <sz val="12"/>
      <color theme="1" tint="0.24994659260841701"/>
      <name val="Calibri"/>
      <family val="2"/>
      <scheme val="minor"/>
    </font>
    <font>
      <sz val="12"/>
      <color theme="1" tint="0.24994659260841701"/>
      <name val="Calibri"/>
      <family val="2"/>
      <scheme val="major"/>
    </font>
    <font>
      <b/>
      <sz val="11"/>
      <color theme="1" tint="0.24994659260841701"/>
      <name val="Calibri"/>
      <family val="2"/>
      <scheme val="minor"/>
    </font>
    <font>
      <i/>
      <sz val="11"/>
      <color theme="7"/>
      <name val="Calibri"/>
      <family val="2"/>
      <scheme val="minor"/>
    </font>
    <font>
      <b/>
      <sz val="42"/>
      <color theme="7"/>
      <name val="Calibri"/>
      <family val="2"/>
      <scheme val="major"/>
    </font>
    <font>
      <b/>
      <sz val="11"/>
      <color theme="1"/>
      <name val="Calibri"/>
      <family val="2"/>
      <scheme val="minor"/>
    </font>
    <font>
      <sz val="10"/>
      <name val="Arial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sz val="17"/>
      <name val="Arial"/>
      <family val="2"/>
    </font>
    <font>
      <sz val="8"/>
      <name val="Arial"/>
      <family val="2"/>
    </font>
    <font>
      <sz val="9"/>
      <name val="Symbol"/>
      <family val="1"/>
      <charset val="2"/>
    </font>
    <font>
      <u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name val="Arial"/>
      <family val="2"/>
    </font>
    <font>
      <sz val="11"/>
      <color rgb="FF9C57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Arial"/>
      <family val="2"/>
    </font>
    <font>
      <sz val="14"/>
      <color theme="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548135"/>
        <bgColor rgb="FF548135"/>
      </patternFill>
    </fill>
    <fill>
      <patternFill patternType="solid">
        <fgColor rgb="FF9CC2E5"/>
        <bgColor rgb="FF9CC2E5"/>
      </patternFill>
    </fill>
    <fill>
      <patternFill patternType="solid">
        <fgColor rgb="FFDDEBF7"/>
        <bgColor rgb="FFDDEBF7"/>
      </patternFill>
    </fill>
    <fill>
      <patternFill patternType="solid">
        <fgColor rgb="FFDEEAF6"/>
        <bgColor rgb="FFDEEAF6"/>
      </patternFill>
    </fill>
    <fill>
      <patternFill patternType="solid">
        <fgColor rgb="FFA8D08D"/>
        <bgColor rgb="FFA8D08D"/>
      </patternFill>
    </fill>
    <fill>
      <patternFill patternType="solid">
        <fgColor rgb="FF00B0F0"/>
        <bgColor rgb="FF00B0F0"/>
      </patternFill>
    </fill>
    <fill>
      <patternFill patternType="solid">
        <fgColor rgb="FFFEF2CB"/>
        <bgColor rgb="FFFEF2CB"/>
      </patternFill>
    </fill>
    <fill>
      <patternFill patternType="solid">
        <fgColor rgb="FFC5E0B3"/>
        <bgColor rgb="FFC5E0B3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F4B083"/>
        <bgColor rgb="FFF4B083"/>
      </patternFill>
    </fill>
    <fill>
      <patternFill patternType="solid">
        <fgColor rgb="FFBDD6EE"/>
        <bgColor rgb="FFBDD6EE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7" tint="0.59996337778862885"/>
      </patternFill>
    </fill>
    <fill>
      <patternFill patternType="lightUp">
        <fgColor theme="7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rgb="FFBDD6EE"/>
      </patternFill>
    </fill>
    <fill>
      <patternFill patternType="solid">
        <fgColor indexed="22"/>
        <bgColor indexed="64"/>
      </patternFill>
    </fill>
    <fill>
      <patternFill patternType="solid">
        <fgColor rgb="FF00B0F0"/>
        <bgColor rgb="FFDDEBF7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C5E0B3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0.14999847407452621"/>
        <bgColor indexed="64"/>
      </patternFill>
    </fill>
  </fills>
  <borders count="17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7"/>
      </bottom>
      <diagonal/>
    </border>
    <border>
      <left/>
      <right/>
      <top style="thin">
        <color theme="9" tint="-0.24994659260841701"/>
      </top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/>
      </bottom>
      <diagonal/>
    </border>
    <border>
      <left/>
      <right/>
      <top/>
      <bottom style="medium">
        <color theme="7"/>
      </bottom>
      <diagonal/>
    </border>
    <border>
      <left/>
      <right/>
      <top style="medium">
        <color theme="7"/>
      </top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8">
    <xf numFmtId="0" fontId="0" fillId="0" borderId="0"/>
    <xf numFmtId="9" fontId="13" fillId="0" borderId="0" applyFont="0" applyFill="0" applyBorder="0" applyAlignment="0" applyProtection="0"/>
    <xf numFmtId="0" fontId="16" fillId="0" borderId="0" applyNumberFormat="0" applyFill="0" applyBorder="0" applyProtection="0">
      <alignment horizontal="center" vertical="center"/>
    </xf>
    <xf numFmtId="9" fontId="17" fillId="0" borderId="0" applyFill="0" applyBorder="0" applyProtection="0">
      <alignment horizontal="center" vertical="center"/>
    </xf>
    <xf numFmtId="0" fontId="20" fillId="0" borderId="0" applyFill="0" applyBorder="0" applyProtection="0">
      <alignment horizontal="left" wrapText="1"/>
    </xf>
    <xf numFmtId="3" fontId="22" fillId="0" borderId="80" applyFill="0" applyProtection="0">
      <alignment horizontal="center"/>
    </xf>
    <xf numFmtId="0" fontId="22" fillId="0" borderId="0" applyFill="0" applyProtection="0">
      <alignment horizontal="center" vertical="center" wrapText="1"/>
    </xf>
    <xf numFmtId="0" fontId="22" fillId="0" borderId="0" applyFill="0" applyProtection="0">
      <alignment vertical="center"/>
    </xf>
    <xf numFmtId="0" fontId="22" fillId="0" borderId="0" applyFill="0" applyBorder="0" applyProtection="0">
      <alignment horizontal="center" wrapText="1"/>
    </xf>
    <xf numFmtId="0" fontId="22" fillId="0" borderId="0" applyFill="0" applyProtection="0">
      <alignment horizontal="left"/>
    </xf>
    <xf numFmtId="0" fontId="23" fillId="0" borderId="0" applyNumberFormat="0" applyFill="0" applyBorder="0" applyProtection="0">
      <alignment horizontal="left" vertical="center"/>
    </xf>
    <xf numFmtId="0" fontId="16" fillId="18" borderId="83" applyNumberFormat="0" applyFont="0" applyAlignment="0">
      <alignment horizontal="center"/>
    </xf>
    <xf numFmtId="0" fontId="16" fillId="19" borderId="83" applyNumberFormat="0" applyFont="0" applyAlignment="0">
      <alignment horizontal="center"/>
    </xf>
    <xf numFmtId="0" fontId="16" fillId="20" borderId="83" applyNumberFormat="0" applyFont="0" applyAlignment="0">
      <alignment horizontal="center"/>
    </xf>
    <xf numFmtId="0" fontId="16" fillId="21" borderId="83" applyNumberFormat="0" applyFont="0" applyAlignment="0">
      <alignment horizontal="center"/>
    </xf>
    <xf numFmtId="0" fontId="16" fillId="22" borderId="85" applyNumberFormat="0" applyFont="0" applyAlignment="0">
      <alignment horizontal="center"/>
    </xf>
    <xf numFmtId="1" fontId="24" fillId="23" borderId="86">
      <alignment horizontal="center" vertical="center"/>
    </xf>
    <xf numFmtId="0" fontId="25" fillId="23" borderId="86" applyNumberFormat="0" applyProtection="0">
      <alignment horizontal="left" vertical="center"/>
    </xf>
    <xf numFmtId="0" fontId="26" fillId="0" borderId="0" applyNumberFormat="0" applyFill="0" applyBorder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Protection="0">
      <alignment vertical="center"/>
    </xf>
    <xf numFmtId="0" fontId="3" fillId="0" borderId="0"/>
    <xf numFmtId="0" fontId="29" fillId="0" borderId="0"/>
    <xf numFmtId="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52" fillId="35" borderId="0" applyNumberFormat="0" applyBorder="0" applyAlignment="0" applyProtection="0"/>
  </cellStyleXfs>
  <cellXfs count="1098">
    <xf numFmtId="0" fontId="0" fillId="0" borderId="0" xfId="0" applyFont="1" applyAlignment="1"/>
    <xf numFmtId="0" fontId="8" fillId="7" borderId="1" xfId="0" applyFont="1" applyFill="1" applyBorder="1" applyAlignment="1">
      <alignment horizontal="center"/>
    </xf>
    <xf numFmtId="0" fontId="8" fillId="0" borderId="1" xfId="0" applyFont="1" applyBorder="1"/>
    <xf numFmtId="0" fontId="10" fillId="9" borderId="21" xfId="0" applyFont="1" applyFill="1" applyBorder="1"/>
    <xf numFmtId="0" fontId="10" fillId="9" borderId="22" xfId="0" applyFont="1" applyFill="1" applyBorder="1"/>
    <xf numFmtId="0" fontId="10" fillId="9" borderId="23" xfId="0" applyFont="1" applyFill="1" applyBorder="1"/>
    <xf numFmtId="0" fontId="10" fillId="9" borderId="24" xfId="0" applyFont="1" applyFill="1" applyBorder="1"/>
    <xf numFmtId="0" fontId="8" fillId="6" borderId="25" xfId="0" applyFont="1" applyFill="1" applyBorder="1"/>
    <xf numFmtId="0" fontId="8" fillId="6" borderId="26" xfId="0" applyFont="1" applyFill="1" applyBorder="1"/>
    <xf numFmtId="0" fontId="8" fillId="9" borderId="25" xfId="0" applyFont="1" applyFill="1" applyBorder="1"/>
    <xf numFmtId="0" fontId="8" fillId="9" borderId="27" xfId="0" applyFont="1" applyFill="1" applyBorder="1"/>
    <xf numFmtId="0" fontId="8" fillId="9" borderId="28" xfId="0" applyFont="1" applyFill="1" applyBorder="1"/>
    <xf numFmtId="0" fontId="8" fillId="9" borderId="26" xfId="0" applyFont="1" applyFill="1" applyBorder="1"/>
    <xf numFmtId="0" fontId="8" fillId="6" borderId="29" xfId="0" applyFont="1" applyFill="1" applyBorder="1"/>
    <xf numFmtId="0" fontId="8" fillId="6" borderId="30" xfId="0" applyFont="1" applyFill="1" applyBorder="1"/>
    <xf numFmtId="0" fontId="8" fillId="9" borderId="29" xfId="0" applyFont="1" applyFill="1" applyBorder="1"/>
    <xf numFmtId="0" fontId="8" fillId="9" borderId="31" xfId="0" applyFont="1" applyFill="1" applyBorder="1"/>
    <xf numFmtId="0" fontId="8" fillId="9" borderId="32" xfId="0" applyFont="1" applyFill="1" applyBorder="1"/>
    <xf numFmtId="0" fontId="8" fillId="9" borderId="30" xfId="0" applyFont="1" applyFill="1" applyBorder="1"/>
    <xf numFmtId="0" fontId="11" fillId="0" borderId="1" xfId="0" applyFont="1" applyBorder="1" applyAlignment="1"/>
    <xf numFmtId="0" fontId="11" fillId="11" borderId="1" xfId="0" applyFont="1" applyFill="1" applyBorder="1" applyAlignment="1"/>
    <xf numFmtId="0" fontId="8" fillId="6" borderId="33" xfId="0" applyFont="1" applyFill="1" applyBorder="1"/>
    <xf numFmtId="0" fontId="8" fillId="6" borderId="35" xfId="0" applyFont="1" applyFill="1" applyBorder="1"/>
    <xf numFmtId="0" fontId="11" fillId="0" borderId="1" xfId="0" applyFont="1" applyBorder="1" applyAlignment="1">
      <alignment horizontal="center"/>
    </xf>
    <xf numFmtId="0" fontId="8" fillId="9" borderId="33" xfId="0" applyFont="1" applyFill="1" applyBorder="1"/>
    <xf numFmtId="0" fontId="11" fillId="0" borderId="1" xfId="0" applyFont="1" applyBorder="1"/>
    <xf numFmtId="0" fontId="8" fillId="9" borderId="36" xfId="0" applyFont="1" applyFill="1" applyBorder="1"/>
    <xf numFmtId="0" fontId="11" fillId="12" borderId="1" xfId="0" applyFont="1" applyFill="1" applyBorder="1" applyAlignment="1"/>
    <xf numFmtId="0" fontId="8" fillId="9" borderId="37" xfId="0" applyFont="1" applyFill="1" applyBorder="1"/>
    <xf numFmtId="0" fontId="8" fillId="9" borderId="35" xfId="0" applyFont="1" applyFill="1" applyBorder="1"/>
    <xf numFmtId="0" fontId="9" fillId="6" borderId="39" xfId="0" applyFont="1" applyFill="1" applyBorder="1"/>
    <xf numFmtId="0" fontId="8" fillId="6" borderId="40" xfId="0" applyFont="1" applyFill="1" applyBorder="1"/>
    <xf numFmtId="0" fontId="8" fillId="9" borderId="39" xfId="0" applyFont="1" applyFill="1" applyBorder="1"/>
    <xf numFmtId="0" fontId="8" fillId="9" borderId="41" xfId="0" applyFont="1" applyFill="1" applyBorder="1"/>
    <xf numFmtId="0" fontId="8" fillId="9" borderId="42" xfId="0" applyFont="1" applyFill="1" applyBorder="1"/>
    <xf numFmtId="0" fontId="8" fillId="9" borderId="40" xfId="0" applyFont="1" applyFill="1" applyBorder="1"/>
    <xf numFmtId="0" fontId="8" fillId="9" borderId="43" xfId="0" applyFont="1" applyFill="1" applyBorder="1"/>
    <xf numFmtId="0" fontId="9" fillId="13" borderId="44" xfId="0" applyFont="1" applyFill="1" applyBorder="1"/>
    <xf numFmtId="0" fontId="8" fillId="9" borderId="45" xfId="0" applyFont="1" applyFill="1" applyBorder="1"/>
    <xf numFmtId="0" fontId="8" fillId="6" borderId="43" xfId="0" applyFont="1" applyFill="1" applyBorder="1"/>
    <xf numFmtId="0" fontId="10" fillId="9" borderId="39" xfId="0" applyFont="1" applyFill="1" applyBorder="1"/>
    <xf numFmtId="0" fontId="10" fillId="9" borderId="50" xfId="0" applyFont="1" applyFill="1" applyBorder="1"/>
    <xf numFmtId="0" fontId="10" fillId="9" borderId="41" xfId="0" applyFont="1" applyFill="1" applyBorder="1"/>
    <xf numFmtId="0" fontId="10" fillId="9" borderId="44" xfId="0" applyFont="1" applyFill="1" applyBorder="1"/>
    <xf numFmtId="0" fontId="10" fillId="9" borderId="51" xfId="0" applyFont="1" applyFill="1" applyBorder="1"/>
    <xf numFmtId="10" fontId="11" fillId="0" borderId="1" xfId="0" applyNumberFormat="1" applyFont="1" applyBorder="1"/>
    <xf numFmtId="164" fontId="8" fillId="0" borderId="0" xfId="0" applyNumberFormat="1" applyFont="1"/>
    <xf numFmtId="0" fontId="8" fillId="6" borderId="52" xfId="0" applyFont="1" applyFill="1" applyBorder="1"/>
    <xf numFmtId="166" fontId="8" fillId="9" borderId="25" xfId="0" applyNumberFormat="1" applyFont="1" applyFill="1" applyBorder="1"/>
    <xf numFmtId="166" fontId="8" fillId="9" borderId="53" xfId="0" applyNumberFormat="1" applyFont="1" applyFill="1" applyBorder="1"/>
    <xf numFmtId="166" fontId="8" fillId="9" borderId="27" xfId="0" applyNumberFormat="1" applyFont="1" applyFill="1" applyBorder="1"/>
    <xf numFmtId="9" fontId="11" fillId="0" borderId="1" xfId="0" applyNumberFormat="1" applyFont="1" applyBorder="1"/>
    <xf numFmtId="166" fontId="8" fillId="9" borderId="54" xfId="0" applyNumberFormat="1" applyFont="1" applyFill="1" applyBorder="1"/>
    <xf numFmtId="167" fontId="8" fillId="9" borderId="54" xfId="0" applyNumberFormat="1" applyFont="1" applyFill="1" applyBorder="1"/>
    <xf numFmtId="0" fontId="8" fillId="9" borderId="55" xfId="0" applyFont="1" applyFill="1" applyBorder="1"/>
    <xf numFmtId="0" fontId="8" fillId="6" borderId="56" xfId="0" applyFont="1" applyFill="1" applyBorder="1"/>
    <xf numFmtId="166" fontId="8" fillId="9" borderId="29" xfId="0" applyNumberFormat="1" applyFont="1" applyFill="1" applyBorder="1"/>
    <xf numFmtId="166" fontId="8" fillId="9" borderId="1" xfId="0" applyNumberFormat="1" applyFont="1" applyFill="1" applyBorder="1"/>
    <xf numFmtId="166" fontId="8" fillId="9" borderId="31" xfId="0" applyNumberFormat="1" applyFont="1" applyFill="1" applyBorder="1"/>
    <xf numFmtId="166" fontId="8" fillId="9" borderId="57" xfId="0" applyNumberFormat="1" applyFont="1" applyFill="1" applyBorder="1"/>
    <xf numFmtId="167" fontId="8" fillId="9" borderId="57" xfId="0" applyNumberFormat="1" applyFont="1" applyFill="1" applyBorder="1"/>
    <xf numFmtId="0" fontId="8" fillId="9" borderId="58" xfId="0" applyFont="1" applyFill="1" applyBorder="1"/>
    <xf numFmtId="0" fontId="8" fillId="6" borderId="59" xfId="0" applyFont="1" applyFill="1" applyBorder="1"/>
    <xf numFmtId="166" fontId="8" fillId="9" borderId="33" xfId="0" applyNumberFormat="1" applyFont="1" applyFill="1" applyBorder="1"/>
    <xf numFmtId="166" fontId="8" fillId="9" borderId="60" xfId="0" applyNumberFormat="1" applyFont="1" applyFill="1" applyBorder="1"/>
    <xf numFmtId="166" fontId="8" fillId="9" borderId="36" xfId="0" applyNumberFormat="1" applyFont="1" applyFill="1" applyBorder="1"/>
    <xf numFmtId="166" fontId="8" fillId="9" borderId="61" xfId="0" applyNumberFormat="1" applyFont="1" applyFill="1" applyBorder="1"/>
    <xf numFmtId="167" fontId="8" fillId="9" borderId="61" xfId="0" applyNumberFormat="1" applyFont="1" applyFill="1" applyBorder="1"/>
    <xf numFmtId="0" fontId="8" fillId="9" borderId="62" xfId="0" applyFont="1" applyFill="1" applyBorder="1"/>
    <xf numFmtId="0" fontId="9" fillId="6" borderId="43" xfId="0" applyFont="1" applyFill="1" applyBorder="1"/>
    <xf numFmtId="0" fontId="8" fillId="9" borderId="50" xfId="0" applyFont="1" applyFill="1" applyBorder="1"/>
    <xf numFmtId="0" fontId="8" fillId="9" borderId="44" xfId="0" applyFont="1" applyFill="1" applyBorder="1"/>
    <xf numFmtId="167" fontId="8" fillId="9" borderId="44" xfId="0" applyNumberFormat="1" applyFont="1" applyFill="1" applyBorder="1"/>
    <xf numFmtId="0" fontId="8" fillId="9" borderId="51" xfId="0" applyFont="1" applyFill="1" applyBorder="1"/>
    <xf numFmtId="0" fontId="9" fillId="4" borderId="63" xfId="0" applyFont="1" applyFill="1" applyBorder="1"/>
    <xf numFmtId="0" fontId="10" fillId="4" borderId="64" xfId="0" applyFont="1" applyFill="1" applyBorder="1" applyAlignment="1">
      <alignment horizontal="center"/>
    </xf>
    <xf numFmtId="0" fontId="10" fillId="4" borderId="65" xfId="0" applyFont="1" applyFill="1" applyBorder="1" applyAlignment="1">
      <alignment horizontal="center"/>
    </xf>
    <xf numFmtId="0" fontId="8" fillId="4" borderId="66" xfId="0" applyFont="1" applyFill="1" applyBorder="1"/>
    <xf numFmtId="0" fontId="8" fillId="4" borderId="21" xfId="0" applyFont="1" applyFill="1" applyBorder="1"/>
    <xf numFmtId="0" fontId="8" fillId="4" borderId="67" xfId="0" applyFont="1" applyFill="1" applyBorder="1"/>
    <xf numFmtId="0" fontId="8" fillId="4" borderId="22" xfId="0" applyFont="1" applyFill="1" applyBorder="1"/>
    <xf numFmtId="0" fontId="8" fillId="4" borderId="68" xfId="0" applyFont="1" applyFill="1" applyBorder="1"/>
    <xf numFmtId="0" fontId="8" fillId="4" borderId="69" xfId="0" applyFont="1" applyFill="1" applyBorder="1"/>
    <xf numFmtId="0" fontId="8" fillId="9" borderId="53" xfId="0" applyFont="1" applyFill="1" applyBorder="1"/>
    <xf numFmtId="0" fontId="8" fillId="9" borderId="54" xfId="0" applyFont="1" applyFill="1" applyBorder="1"/>
    <xf numFmtId="0" fontId="8" fillId="9" borderId="1" xfId="0" applyFont="1" applyFill="1" applyBorder="1"/>
    <xf numFmtId="0" fontId="8" fillId="9" borderId="57" xfId="0" applyFont="1" applyFill="1" applyBorder="1"/>
    <xf numFmtId="0" fontId="9" fillId="6" borderId="66" xfId="0" applyFont="1" applyFill="1" applyBorder="1"/>
    <xf numFmtId="0" fontId="8" fillId="9" borderId="21" xfId="0" applyFont="1" applyFill="1" applyBorder="1"/>
    <xf numFmtId="0" fontId="8" fillId="9" borderId="67" xfId="0" applyFont="1" applyFill="1" applyBorder="1"/>
    <xf numFmtId="0" fontId="8" fillId="9" borderId="22" xfId="0" applyFont="1" applyFill="1" applyBorder="1"/>
    <xf numFmtId="0" fontId="8" fillId="9" borderId="68" xfId="0" applyFont="1" applyFill="1" applyBorder="1"/>
    <xf numFmtId="0" fontId="8" fillId="9" borderId="69" xfId="0" applyFont="1" applyFill="1" applyBorder="1"/>
    <xf numFmtId="0" fontId="9" fillId="4" borderId="64" xfId="0" applyFont="1" applyFill="1" applyBorder="1"/>
    <xf numFmtId="0" fontId="8" fillId="0" borderId="0" xfId="0" applyFont="1"/>
    <xf numFmtId="0" fontId="10" fillId="4" borderId="68" xfId="0" applyFont="1" applyFill="1" applyBorder="1"/>
    <xf numFmtId="0" fontId="10" fillId="4" borderId="67" xfId="0" applyFont="1" applyFill="1" applyBorder="1"/>
    <xf numFmtId="0" fontId="10" fillId="4" borderId="22" xfId="0" applyFont="1" applyFill="1" applyBorder="1"/>
    <xf numFmtId="0" fontId="10" fillId="0" borderId="0" xfId="0" applyFont="1"/>
    <xf numFmtId="0" fontId="8" fillId="6" borderId="44" xfId="0" applyFont="1" applyFill="1" applyBorder="1"/>
    <xf numFmtId="0" fontId="10" fillId="9" borderId="39" xfId="0" applyFont="1" applyFill="1" applyBorder="1" applyAlignment="1">
      <alignment horizontal="center"/>
    </xf>
    <xf numFmtId="0" fontId="10" fillId="9" borderId="50" xfId="0" applyFont="1" applyFill="1" applyBorder="1" applyAlignment="1">
      <alignment horizontal="center"/>
    </xf>
    <xf numFmtId="49" fontId="10" fillId="9" borderId="50" xfId="0" applyNumberFormat="1" applyFont="1" applyFill="1" applyBorder="1" applyAlignment="1">
      <alignment horizontal="center"/>
    </xf>
    <xf numFmtId="49" fontId="10" fillId="9" borderId="40" xfId="0" applyNumberFormat="1" applyFont="1" applyFill="1" applyBorder="1" applyAlignment="1">
      <alignment horizontal="center"/>
    </xf>
    <xf numFmtId="0" fontId="10" fillId="9" borderId="44" xfId="0" applyFont="1" applyFill="1" applyBorder="1" applyAlignment="1">
      <alignment horizontal="center"/>
    </xf>
    <xf numFmtId="0" fontId="8" fillId="6" borderId="54" xfId="0" applyFont="1" applyFill="1" applyBorder="1"/>
    <xf numFmtId="0" fontId="8" fillId="6" borderId="57" xfId="0" applyFont="1" applyFill="1" applyBorder="1"/>
    <xf numFmtId="0" fontId="8" fillId="6" borderId="61" xfId="0" applyFont="1" applyFill="1" applyBorder="1"/>
    <xf numFmtId="0" fontId="9" fillId="6" borderId="68" xfId="0" applyFont="1" applyFill="1" applyBorder="1"/>
    <xf numFmtId="0" fontId="8" fillId="9" borderId="24" xfId="0" applyFont="1" applyFill="1" applyBorder="1"/>
    <xf numFmtId="0" fontId="8" fillId="4" borderId="73" xfId="0" applyFont="1" applyFill="1" applyBorder="1"/>
    <xf numFmtId="0" fontId="8" fillId="0" borderId="74" xfId="0" applyFont="1" applyBorder="1"/>
    <xf numFmtId="0" fontId="8" fillId="4" borderId="29" xfId="0" applyFont="1" applyFill="1" applyBorder="1"/>
    <xf numFmtId="0" fontId="8" fillId="0" borderId="31" xfId="0" applyFont="1" applyBorder="1"/>
    <xf numFmtId="0" fontId="9" fillId="4" borderId="1" xfId="0" applyFont="1" applyFill="1" applyBorder="1"/>
    <xf numFmtId="0" fontId="8" fillId="0" borderId="22" xfId="0" applyFont="1" applyBorder="1"/>
    <xf numFmtId="0" fontId="8" fillId="9" borderId="73" xfId="0" applyFont="1" applyFill="1" applyBorder="1"/>
    <xf numFmtId="0" fontId="9" fillId="14" borderId="1" xfId="0" applyFont="1" applyFill="1" applyBorder="1"/>
    <xf numFmtId="0" fontId="8" fillId="0" borderId="75" xfId="0" applyFont="1" applyBorder="1"/>
    <xf numFmtId="0" fontId="9" fillId="9" borderId="56" xfId="0" applyFont="1" applyFill="1" applyBorder="1"/>
    <xf numFmtId="0" fontId="8" fillId="0" borderId="76" xfId="0" applyFont="1" applyBorder="1"/>
    <xf numFmtId="0" fontId="8" fillId="9" borderId="23" xfId="0" applyFont="1" applyFill="1" applyBorder="1"/>
    <xf numFmtId="0" fontId="9" fillId="6" borderId="21" xfId="0" applyFont="1" applyFill="1" applyBorder="1"/>
    <xf numFmtId="0" fontId="8" fillId="6" borderId="24" xfId="0" applyFont="1" applyFill="1" applyBorder="1"/>
    <xf numFmtId="0" fontId="8" fillId="9" borderId="77" xfId="0" applyFont="1" applyFill="1" applyBorder="1"/>
    <xf numFmtId="0" fontId="12" fillId="0" borderId="0" xfId="0" applyFont="1"/>
    <xf numFmtId="164" fontId="12" fillId="0" borderId="0" xfId="0" applyNumberFormat="1" applyFont="1"/>
    <xf numFmtId="0" fontId="11" fillId="15" borderId="1" xfId="0" applyFont="1" applyFill="1" applyBorder="1" applyAlignment="1"/>
    <xf numFmtId="0" fontId="11" fillId="15" borderId="1" xfId="0" applyFont="1" applyFill="1" applyBorder="1" applyAlignment="1">
      <alignment horizontal="center"/>
    </xf>
    <xf numFmtId="0" fontId="14" fillId="16" borderId="0" xfId="0" applyFont="1" applyFill="1" applyAlignment="1"/>
    <xf numFmtId="0" fontId="16" fillId="0" borderId="0" xfId="2">
      <alignment horizontal="center" vertical="center"/>
    </xf>
    <xf numFmtId="0" fontId="16" fillId="0" borderId="0" xfId="2" applyAlignment="1">
      <alignment horizontal="center"/>
    </xf>
    <xf numFmtId="0" fontId="16" fillId="0" borderId="0" xfId="2" applyBorder="1">
      <alignment horizontal="center" vertical="center"/>
    </xf>
    <xf numFmtId="0" fontId="16" fillId="0" borderId="0" xfId="2" applyBorder="1" applyAlignment="1">
      <alignment horizontal="center"/>
    </xf>
    <xf numFmtId="9" fontId="18" fillId="0" borderId="78" xfId="3" applyFont="1" applyBorder="1">
      <alignment horizontal="center" vertical="center"/>
    </xf>
    <xf numFmtId="0" fontId="19" fillId="0" borderId="78" xfId="2" applyFont="1" applyBorder="1">
      <alignment horizontal="center" vertical="center"/>
    </xf>
    <xf numFmtId="0" fontId="21" fillId="0" borderId="78" xfId="4" applyFont="1" applyBorder="1" applyAlignment="1">
      <alignment horizontal="left" vertical="center" wrapText="1"/>
    </xf>
    <xf numFmtId="9" fontId="18" fillId="0" borderId="79" xfId="3" applyFont="1" applyBorder="1">
      <alignment horizontal="center" vertical="center"/>
    </xf>
    <xf numFmtId="0" fontId="19" fillId="0" borderId="79" xfId="2" applyFont="1" applyBorder="1">
      <alignment horizontal="center" vertical="center"/>
    </xf>
    <xf numFmtId="0" fontId="21" fillId="0" borderId="79" xfId="4" applyFont="1" applyBorder="1" applyAlignment="1">
      <alignment horizontal="left" vertical="center" wrapText="1"/>
    </xf>
    <xf numFmtId="0" fontId="19" fillId="0" borderId="79" xfId="2" quotePrefix="1" applyFont="1" applyBorder="1">
      <alignment horizontal="center" vertical="center"/>
    </xf>
    <xf numFmtId="3" fontId="22" fillId="0" borderId="80" xfId="5">
      <alignment horizontal="center"/>
    </xf>
    <xf numFmtId="0" fontId="16" fillId="0" borderId="0" xfId="2" applyAlignment="1">
      <alignment vertical="center" wrapText="1"/>
    </xf>
    <xf numFmtId="0" fontId="16" fillId="0" borderId="0" xfId="2" applyAlignment="1">
      <alignment horizontal="center" wrapText="1"/>
    </xf>
    <xf numFmtId="0" fontId="22" fillId="0" borderId="0" xfId="8">
      <alignment horizontal="center" wrapText="1"/>
    </xf>
    <xf numFmtId="0" fontId="22" fillId="0" borderId="0" xfId="9">
      <alignment horizontal="left"/>
    </xf>
    <xf numFmtId="0" fontId="0" fillId="18" borderId="83" xfId="11" applyFont="1">
      <alignment horizontal="center"/>
    </xf>
    <xf numFmtId="0" fontId="0" fillId="19" borderId="83" xfId="12" applyFont="1">
      <alignment horizontal="center"/>
    </xf>
    <xf numFmtId="0" fontId="0" fillId="20" borderId="83" xfId="13" applyFont="1">
      <alignment horizontal="center"/>
    </xf>
    <xf numFmtId="0" fontId="0" fillId="0" borderId="83" xfId="14" applyFont="1" applyFill="1">
      <alignment horizontal="center"/>
    </xf>
    <xf numFmtId="0" fontId="0" fillId="22" borderId="85" xfId="15" applyFont="1">
      <alignment horizontal="center"/>
    </xf>
    <xf numFmtId="1" fontId="24" fillId="23" borderId="86" xfId="16">
      <alignment horizontal="center" vertical="center"/>
    </xf>
    <xf numFmtId="0" fontId="25" fillId="23" borderId="86" xfId="17">
      <alignment horizontal="left" vertical="center"/>
    </xf>
    <xf numFmtId="0" fontId="27" fillId="0" borderId="0" xfId="19" applyAlignment="1">
      <alignment horizontal="center"/>
    </xf>
    <xf numFmtId="0" fontId="27" fillId="0" borderId="0" xfId="20">
      <alignment vertical="center"/>
    </xf>
    <xf numFmtId="0" fontId="4" fillId="0" borderId="0" xfId="0" applyFont="1" applyAlignment="1"/>
    <xf numFmtId="9" fontId="4" fillId="0" borderId="0" xfId="1" applyFont="1" applyAlignment="1"/>
    <xf numFmtId="0" fontId="8" fillId="0" borderId="0" xfId="0" applyFont="1" applyBorder="1"/>
    <xf numFmtId="0" fontId="28" fillId="0" borderId="0" xfId="0" applyFont="1" applyAlignment="1"/>
    <xf numFmtId="0" fontId="4" fillId="0" borderId="90" xfId="0" applyFont="1" applyBorder="1" applyAlignment="1"/>
    <xf numFmtId="0" fontId="4" fillId="0" borderId="91" xfId="0" applyFont="1" applyBorder="1" applyAlignment="1"/>
    <xf numFmtId="0" fontId="4" fillId="0" borderId="92" xfId="0" applyFont="1" applyBorder="1" applyAlignment="1"/>
    <xf numFmtId="0" fontId="4" fillId="0" borderId="93" xfId="0" applyFont="1" applyBorder="1" applyAlignment="1"/>
    <xf numFmtId="0" fontId="11" fillId="24" borderId="1" xfId="0" applyFont="1" applyFill="1" applyBorder="1" applyAlignment="1"/>
    <xf numFmtId="0" fontId="8" fillId="0" borderId="60" xfId="0" applyFont="1" applyBorder="1"/>
    <xf numFmtId="0" fontId="8" fillId="0" borderId="30" xfId="0" applyFont="1" applyBorder="1"/>
    <xf numFmtId="0" fontId="8" fillId="0" borderId="26" xfId="0" applyFont="1" applyBorder="1"/>
    <xf numFmtId="0" fontId="8" fillId="0" borderId="79" xfId="0" applyFont="1" applyBorder="1"/>
    <xf numFmtId="2" fontId="8" fillId="0" borderId="1" xfId="0" applyNumberFormat="1" applyFont="1" applyBorder="1"/>
    <xf numFmtId="0" fontId="8" fillId="0" borderId="95" xfId="0" applyFont="1" applyBorder="1"/>
    <xf numFmtId="168" fontId="8" fillId="0" borderId="1" xfId="0" applyNumberFormat="1" applyFont="1" applyBorder="1"/>
    <xf numFmtId="1" fontId="8" fillId="0" borderId="1" xfId="0" applyNumberFormat="1" applyFont="1" applyBorder="1"/>
    <xf numFmtId="0" fontId="9" fillId="25" borderId="1" xfId="0" applyFont="1" applyFill="1" applyBorder="1"/>
    <xf numFmtId="0" fontId="30" fillId="0" borderId="0" xfId="22" applyFont="1"/>
    <xf numFmtId="0" fontId="30" fillId="0" borderId="98" xfId="22" applyFont="1" applyBorder="1"/>
    <xf numFmtId="0" fontId="30" fillId="0" borderId="95" xfId="22" applyFont="1" applyBorder="1"/>
    <xf numFmtId="0" fontId="30" fillId="0" borderId="91" xfId="22" applyFont="1" applyBorder="1" applyAlignment="1">
      <alignment horizontal="center"/>
    </xf>
    <xf numFmtId="2" fontId="30" fillId="0" borderId="100" xfId="22" applyNumberFormat="1" applyFont="1" applyBorder="1"/>
    <xf numFmtId="2" fontId="30" fillId="0" borderId="101" xfId="22" applyNumberFormat="1" applyFont="1" applyBorder="1"/>
    <xf numFmtId="2" fontId="30" fillId="0" borderId="102" xfId="22" applyNumberFormat="1" applyFont="1" applyBorder="1"/>
    <xf numFmtId="2" fontId="30" fillId="0" borderId="91" xfId="22" applyNumberFormat="1" applyFont="1" applyBorder="1" applyAlignment="1">
      <alignment horizontal="center" vertical="center"/>
    </xf>
    <xf numFmtId="2" fontId="30" fillId="0" borderId="91" xfId="22" applyNumberFormat="1" applyFont="1" applyBorder="1"/>
    <xf numFmtId="0" fontId="34" fillId="0" borderId="93" xfId="22" applyFont="1" applyBorder="1" applyAlignment="1">
      <alignment vertical="center"/>
    </xf>
    <xf numFmtId="0" fontId="31" fillId="0" borderId="95" xfId="22" applyFont="1" applyBorder="1" applyAlignment="1">
      <alignment horizontal="center" vertical="center" shrinkToFit="1"/>
    </xf>
    <xf numFmtId="0" fontId="31" fillId="0" borderId="95" xfId="22" applyFont="1" applyBorder="1" applyAlignment="1">
      <alignment horizontal="center" vertical="center"/>
    </xf>
    <xf numFmtId="0" fontId="35" fillId="0" borderId="95" xfId="22" applyFont="1" applyBorder="1" applyAlignment="1">
      <alignment horizontal="center" vertical="center"/>
    </xf>
    <xf numFmtId="0" fontId="31" fillId="0" borderId="102" xfId="22" applyFont="1" applyBorder="1" applyAlignment="1">
      <alignment horizontal="center" vertical="center"/>
    </xf>
    <xf numFmtId="0" fontId="30" fillId="0" borderId="0" xfId="22" applyFont="1" applyAlignment="1">
      <alignment vertical="center"/>
    </xf>
    <xf numFmtId="0" fontId="30" fillId="0" borderId="79" xfId="22" applyFont="1" applyBorder="1" applyAlignment="1">
      <alignment horizontal="center" vertical="center"/>
    </xf>
    <xf numFmtId="0" fontId="31" fillId="0" borderId="105" xfId="22" applyFont="1" applyBorder="1" applyAlignment="1">
      <alignment vertical="center"/>
    </xf>
    <xf numFmtId="0" fontId="30" fillId="0" borderId="96" xfId="22" applyFont="1" applyBorder="1"/>
    <xf numFmtId="0" fontId="30" fillId="0" borderId="79" xfId="22" applyFont="1" applyBorder="1"/>
    <xf numFmtId="0" fontId="30" fillId="0" borderId="78" xfId="22" applyFont="1" applyBorder="1" applyAlignment="1">
      <alignment horizontal="center" vertical="center"/>
    </xf>
    <xf numFmtId="0" fontId="30" fillId="0" borderId="0" xfId="22" applyFont="1" applyBorder="1"/>
    <xf numFmtId="0" fontId="30" fillId="0" borderId="0" xfId="22" applyFont="1" applyBorder="1" applyAlignment="1"/>
    <xf numFmtId="0" fontId="31" fillId="0" borderId="0" xfId="22" applyFont="1" applyBorder="1" applyAlignment="1">
      <alignment horizontal="center" vertical="center" shrinkToFit="1"/>
    </xf>
    <xf numFmtId="9" fontId="36" fillId="0" borderId="0" xfId="23" applyFont="1" applyBorder="1"/>
    <xf numFmtId="169" fontId="36" fillId="0" borderId="0" xfId="22" applyNumberFormat="1" applyFont="1" applyBorder="1"/>
    <xf numFmtId="0" fontId="29" fillId="0" borderId="0" xfId="22" applyBorder="1"/>
    <xf numFmtId="169" fontId="31" fillId="0" borderId="0" xfId="22" applyNumberFormat="1" applyFont="1" applyBorder="1"/>
    <xf numFmtId="0" fontId="32" fillId="0" borderId="0" xfId="22" applyFont="1" applyBorder="1" applyAlignment="1">
      <alignment horizontal="center" vertical="center"/>
    </xf>
    <xf numFmtId="0" fontId="33" fillId="0" borderId="0" xfId="22" applyFont="1" applyBorder="1"/>
    <xf numFmtId="169" fontId="33" fillId="0" borderId="0" xfId="22" applyNumberFormat="1" applyFont="1" applyBorder="1"/>
    <xf numFmtId="9" fontId="29" fillId="0" borderId="0" xfId="22" applyNumberFormat="1" applyBorder="1"/>
    <xf numFmtId="170" fontId="29" fillId="0" borderId="0" xfId="22" applyNumberFormat="1" applyBorder="1"/>
    <xf numFmtId="169" fontId="32" fillId="0" borderId="0" xfId="22" applyNumberFormat="1" applyFont="1" applyBorder="1"/>
    <xf numFmtId="0" fontId="33" fillId="0" borderId="0" xfId="22" applyFont="1" applyBorder="1" applyAlignment="1">
      <alignment vertical="top"/>
    </xf>
    <xf numFmtId="0" fontId="33" fillId="0" borderId="0" xfId="22" applyFont="1" applyBorder="1" applyAlignment="1"/>
    <xf numFmtId="0" fontId="36" fillId="0" borderId="0" xfId="22" applyFont="1" applyBorder="1" applyAlignment="1">
      <alignment shrinkToFit="1"/>
    </xf>
    <xf numFmtId="0" fontId="32" fillId="0" borderId="0" xfId="22" applyFont="1" applyBorder="1" applyAlignment="1"/>
    <xf numFmtId="0" fontId="33" fillId="0" borderId="0" xfId="22" applyFont="1" applyBorder="1" applyAlignment="1">
      <alignment vertical="center"/>
    </xf>
    <xf numFmtId="0" fontId="29" fillId="0" borderId="0" xfId="22" applyBorder="1" applyAlignment="1">
      <alignment vertical="center"/>
    </xf>
    <xf numFmtId="0" fontId="29" fillId="0" borderId="0" xfId="22" applyBorder="1" applyAlignment="1"/>
    <xf numFmtId="0" fontId="29" fillId="0" borderId="0" xfId="22" applyBorder="1" applyAlignment="1">
      <alignment vertical="top"/>
    </xf>
    <xf numFmtId="0" fontId="31" fillId="0" borderId="0" xfId="22" applyFont="1" applyBorder="1" applyAlignment="1">
      <alignment vertical="center"/>
    </xf>
    <xf numFmtId="0" fontId="32" fillId="0" borderId="0" xfId="22" applyFont="1" applyBorder="1" applyAlignment="1">
      <alignment vertical="center"/>
    </xf>
    <xf numFmtId="0" fontId="31" fillId="0" borderId="96" xfId="22" applyFont="1" applyBorder="1" applyAlignment="1">
      <alignment vertical="center"/>
    </xf>
    <xf numFmtId="0" fontId="0" fillId="0" borderId="0" xfId="0" applyFont="1" applyBorder="1" applyAlignment="1"/>
    <xf numFmtId="0" fontId="39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39" fillId="0" borderId="0" xfId="0" applyFont="1" applyBorder="1" applyAlignment="1"/>
    <xf numFmtId="0" fontId="0" fillId="0" borderId="0" xfId="0" applyFont="1" applyBorder="1" applyAlignment="1"/>
    <xf numFmtId="0" fontId="41" fillId="0" borderId="0" xfId="0" applyFont="1" applyBorder="1" applyAlignment="1">
      <alignment vertical="center"/>
    </xf>
    <xf numFmtId="0" fontId="41" fillId="0" borderId="0" xfId="0" applyFont="1" applyBorder="1" applyAlignment="1"/>
    <xf numFmtId="0" fontId="41" fillId="0" borderId="127" xfId="0" applyFont="1" applyBorder="1" applyAlignment="1"/>
    <xf numFmtId="0" fontId="41" fillId="0" borderId="128" xfId="0" applyFont="1" applyBorder="1" applyAlignment="1"/>
    <xf numFmtId="0" fontId="41" fillId="0" borderId="107" xfId="0" applyFont="1" applyBorder="1" applyAlignment="1"/>
    <xf numFmtId="0" fontId="42" fillId="0" borderId="126" xfId="0" applyFont="1" applyBorder="1" applyAlignment="1">
      <alignment horizontal="center" vertical="center"/>
    </xf>
    <xf numFmtId="0" fontId="41" fillId="0" borderId="129" xfId="0" applyFont="1" applyBorder="1" applyAlignment="1"/>
    <xf numFmtId="0" fontId="41" fillId="0" borderId="130" xfId="0" applyFont="1" applyBorder="1" applyAlignment="1"/>
    <xf numFmtId="0" fontId="41" fillId="0" borderId="131" xfId="0" applyFont="1" applyBorder="1" applyAlignment="1"/>
    <xf numFmtId="0" fontId="43" fillId="0" borderId="126" xfId="0" applyFont="1" applyBorder="1" applyAlignment="1">
      <alignment horizontal="center" vertical="center"/>
    </xf>
    <xf numFmtId="0" fontId="40" fillId="0" borderId="126" xfId="0" applyFont="1" applyBorder="1" applyAlignment="1">
      <alignment horizontal="center" vertical="center"/>
    </xf>
    <xf numFmtId="0" fontId="40" fillId="0" borderId="125" xfId="0" applyFont="1" applyBorder="1" applyAlignment="1">
      <alignment horizontal="center" vertical="center"/>
    </xf>
    <xf numFmtId="0" fontId="42" fillId="0" borderId="125" xfId="0" applyFont="1" applyBorder="1" applyAlignment="1">
      <alignment horizontal="center" vertical="center"/>
    </xf>
    <xf numFmtId="0" fontId="41" fillId="0" borderId="137" xfId="0" applyFont="1" applyBorder="1" applyAlignment="1"/>
    <xf numFmtId="0" fontId="41" fillId="0" borderId="140" xfId="0" applyFont="1" applyBorder="1" applyAlignment="1"/>
    <xf numFmtId="0" fontId="41" fillId="0" borderId="141" xfId="0" applyFont="1" applyBorder="1" applyAlignment="1"/>
    <xf numFmtId="0" fontId="41" fillId="0" borderId="143" xfId="0" applyFont="1" applyBorder="1" applyAlignment="1"/>
    <xf numFmtId="0" fontId="41" fillId="0" borderId="139" xfId="0" applyFont="1" applyBorder="1" applyAlignment="1"/>
    <xf numFmtId="0" fontId="41" fillId="0" borderId="144" xfId="0" applyFont="1" applyBorder="1" applyAlignment="1"/>
    <xf numFmtId="0" fontId="0" fillId="0" borderId="107" xfId="0" applyFont="1" applyBorder="1" applyAlignment="1"/>
    <xf numFmtId="0" fontId="0" fillId="0" borderId="131" xfId="0" applyFont="1" applyBorder="1" applyAlignment="1"/>
    <xf numFmtId="2" fontId="8" fillId="0" borderId="79" xfId="0" applyNumberFormat="1" applyFont="1" applyBorder="1"/>
    <xf numFmtId="2" fontId="4" fillId="0" borderId="79" xfId="0" applyNumberFormat="1" applyFont="1" applyBorder="1" applyAlignment="1"/>
    <xf numFmtId="9" fontId="4" fillId="0" borderId="79" xfId="1" applyFont="1" applyBorder="1" applyAlignment="1"/>
    <xf numFmtId="0" fontId="8" fillId="0" borderId="90" xfId="0" applyFont="1" applyBorder="1"/>
    <xf numFmtId="2" fontId="4" fillId="0" borderId="91" xfId="0" applyNumberFormat="1" applyFont="1" applyBorder="1" applyAlignment="1"/>
    <xf numFmtId="0" fontId="8" fillId="0" borderId="92" xfId="0" applyFont="1" applyBorder="1"/>
    <xf numFmtId="0" fontId="8" fillId="0" borderId="110" xfId="0" applyFont="1" applyBorder="1"/>
    <xf numFmtId="2" fontId="8" fillId="0" borderId="110" xfId="0" applyNumberFormat="1" applyFont="1" applyBorder="1"/>
    <xf numFmtId="2" fontId="4" fillId="0" borderId="110" xfId="0" applyNumberFormat="1" applyFont="1" applyBorder="1" applyAlignment="1"/>
    <xf numFmtId="9" fontId="4" fillId="0" borderId="110" xfId="1" applyFont="1" applyBorder="1" applyAlignment="1"/>
    <xf numFmtId="2" fontId="4" fillId="0" borderId="93" xfId="0" applyNumberFormat="1" applyFont="1" applyBorder="1" applyAlignment="1"/>
    <xf numFmtId="0" fontId="8" fillId="0" borderId="98" xfId="0" applyFont="1" applyBorder="1"/>
    <xf numFmtId="2" fontId="8" fillId="0" borderId="95" xfId="0" applyNumberFormat="1" applyFont="1" applyBorder="1"/>
    <xf numFmtId="2" fontId="4" fillId="0" borderId="95" xfId="0" applyNumberFormat="1" applyFont="1" applyBorder="1" applyAlignment="1"/>
    <xf numFmtId="9" fontId="4" fillId="0" borderId="95" xfId="1" applyFont="1" applyBorder="1" applyAlignment="1"/>
    <xf numFmtId="2" fontId="4" fillId="0" borderId="102" xfId="0" applyNumberFormat="1" applyFont="1" applyBorder="1" applyAlignment="1"/>
    <xf numFmtId="0" fontId="40" fillId="0" borderId="0" xfId="0" applyFont="1" applyAlignment="1"/>
    <xf numFmtId="0" fontId="0" fillId="0" borderId="0" xfId="0" applyFont="1" applyAlignment="1">
      <alignment horizontal="center" vertical="center"/>
    </xf>
    <xf numFmtId="0" fontId="0" fillId="0" borderId="98" xfId="0" applyFont="1" applyBorder="1" applyAlignment="1"/>
    <xf numFmtId="0" fontId="0" fillId="0" borderId="90" xfId="0" applyFont="1" applyBorder="1" applyAlignment="1"/>
    <xf numFmtId="0" fontId="39" fillId="0" borderId="90" xfId="0" applyFont="1" applyBorder="1" applyAlignment="1"/>
    <xf numFmtId="0" fontId="0" fillId="0" borderId="95" xfId="0" applyFont="1" applyBorder="1" applyAlignment="1">
      <alignment horizontal="center"/>
    </xf>
    <xf numFmtId="0" fontId="39" fillId="0" borderId="95" xfId="0" applyFont="1" applyBorder="1" applyAlignment="1">
      <alignment horizontal="center"/>
    </xf>
    <xf numFmtId="165" fontId="0" fillId="0" borderId="95" xfId="0" applyNumberFormat="1" applyFont="1" applyBorder="1" applyAlignment="1">
      <alignment horizontal="center"/>
    </xf>
    <xf numFmtId="165" fontId="0" fillId="0" borderId="102" xfId="0" applyNumberFormat="1" applyFont="1" applyBorder="1" applyAlignment="1">
      <alignment horizontal="center"/>
    </xf>
    <xf numFmtId="0" fontId="0" fillId="0" borderId="79" xfId="0" applyFont="1" applyBorder="1" applyAlignment="1">
      <alignment horizontal="center"/>
    </xf>
    <xf numFmtId="0" fontId="39" fillId="0" borderId="79" xfId="0" applyFont="1" applyBorder="1" applyAlignment="1">
      <alignment horizontal="center"/>
    </xf>
    <xf numFmtId="165" fontId="0" fillId="0" borderId="79" xfId="26" applyFont="1" applyBorder="1" applyAlignment="1">
      <alignment horizontal="center"/>
    </xf>
    <xf numFmtId="165" fontId="0" fillId="0" borderId="79" xfId="0" applyNumberFormat="1" applyFont="1" applyBorder="1" applyAlignment="1">
      <alignment horizontal="center"/>
    </xf>
    <xf numFmtId="165" fontId="0" fillId="0" borderId="91" xfId="0" applyNumberFormat="1" applyFont="1" applyBorder="1" applyAlignment="1">
      <alignment horizontal="center"/>
    </xf>
    <xf numFmtId="165" fontId="39" fillId="0" borderId="79" xfId="26" applyFont="1" applyBorder="1" applyAlignment="1">
      <alignment horizontal="center"/>
    </xf>
    <xf numFmtId="0" fontId="0" fillId="0" borderId="0" xfId="0" applyFont="1" applyAlignment="1">
      <alignment horizontal="center"/>
    </xf>
    <xf numFmtId="165" fontId="0" fillId="0" borderId="0" xfId="0" applyNumberFormat="1" applyFont="1" applyAlignment="1">
      <alignment horizontal="center"/>
    </xf>
    <xf numFmtId="165" fontId="0" fillId="0" borderId="0" xfId="26" applyFont="1" applyAlignment="1"/>
    <xf numFmtId="165" fontId="0" fillId="0" borderId="0" xfId="0" applyNumberFormat="1" applyFont="1" applyAlignment="1"/>
    <xf numFmtId="0" fontId="0" fillId="0" borderId="79" xfId="0" applyFont="1" applyBorder="1" applyAlignment="1"/>
    <xf numFmtId="165" fontId="0" fillId="0" borderId="79" xfId="26" applyFont="1" applyBorder="1" applyAlignment="1"/>
    <xf numFmtId="165" fontId="0" fillId="0" borderId="79" xfId="0" applyNumberFormat="1" applyFont="1" applyBorder="1" applyAlignment="1"/>
    <xf numFmtId="0" fontId="0" fillId="0" borderId="0" xfId="0" applyFont="1" applyAlignment="1">
      <alignment horizontal="center"/>
    </xf>
    <xf numFmtId="0" fontId="39" fillId="0" borderId="79" xfId="0" applyFont="1" applyBorder="1" applyAlignment="1"/>
    <xf numFmtId="0" fontId="0" fillId="0" borderId="0" xfId="0" applyFont="1" applyAlignment="1">
      <alignment horizontal="center" wrapText="1"/>
    </xf>
    <xf numFmtId="0" fontId="39" fillId="0" borderId="0" xfId="0" applyFont="1" applyAlignment="1"/>
    <xf numFmtId="0" fontId="0" fillId="0" borderId="0" xfId="0" applyFont="1" applyAlignment="1">
      <alignment horizontal="center"/>
    </xf>
    <xf numFmtId="0" fontId="39" fillId="0" borderId="0" xfId="0" applyFont="1" applyAlignment="1">
      <alignment horizontal="center" wrapText="1"/>
    </xf>
    <xf numFmtId="0" fontId="0" fillId="0" borderId="145" xfId="0" applyFont="1" applyBorder="1" applyAlignment="1"/>
    <xf numFmtId="0" fontId="0" fillId="0" borderId="78" xfId="0" applyFont="1" applyBorder="1" applyAlignment="1"/>
    <xf numFmtId="165" fontId="0" fillId="0" borderId="78" xfId="26" applyFont="1" applyBorder="1" applyAlignment="1"/>
    <xf numFmtId="177" fontId="0" fillId="0" borderId="100" xfId="0" applyNumberFormat="1" applyFont="1" applyBorder="1" applyAlignment="1"/>
    <xf numFmtId="165" fontId="0" fillId="0" borderId="95" xfId="26" applyFont="1" applyBorder="1" applyAlignment="1"/>
    <xf numFmtId="177" fontId="0" fillId="0" borderId="95" xfId="0" applyNumberFormat="1" applyFont="1" applyBorder="1" applyAlignment="1"/>
    <xf numFmtId="0" fontId="0" fillId="0" borderId="102" xfId="0" applyFont="1" applyBorder="1" applyAlignment="1"/>
    <xf numFmtId="0" fontId="39" fillId="0" borderId="108" xfId="0" applyFont="1" applyBorder="1" applyAlignment="1"/>
    <xf numFmtId="1" fontId="0" fillId="0" borderId="0" xfId="0" applyNumberFormat="1" applyFont="1" applyAlignment="1"/>
    <xf numFmtId="1" fontId="0" fillId="0" borderId="0" xfId="26" applyNumberFormat="1" applyFont="1" applyAlignment="1"/>
    <xf numFmtId="9" fontId="0" fillId="0" borderId="102" xfId="1" applyFont="1" applyBorder="1" applyAlignment="1"/>
    <xf numFmtId="10" fontId="0" fillId="0" borderId="91" xfId="1" applyNumberFormat="1" applyFont="1" applyBorder="1" applyAlignment="1"/>
    <xf numFmtId="10" fontId="0" fillId="0" borderId="100" xfId="1" applyNumberFormat="1" applyFont="1" applyBorder="1" applyAlignment="1"/>
    <xf numFmtId="0" fontId="39" fillId="0" borderId="98" xfId="0" applyFont="1" applyBorder="1" applyAlignment="1"/>
    <xf numFmtId="0" fontId="39" fillId="0" borderId="146" xfId="0" applyFont="1" applyBorder="1" applyAlignment="1"/>
    <xf numFmtId="10" fontId="39" fillId="0" borderId="101" xfId="1" applyNumberFormat="1" applyFont="1" applyBorder="1" applyAlignment="1"/>
    <xf numFmtId="10" fontId="0" fillId="0" borderId="102" xfId="1" applyNumberFormat="1" applyFont="1" applyBorder="1" applyAlignment="1"/>
    <xf numFmtId="0" fontId="39" fillId="0" borderId="145" xfId="0" applyFont="1" applyBorder="1" applyAlignment="1"/>
    <xf numFmtId="0" fontId="0" fillId="0" borderId="148" xfId="0" applyFont="1" applyBorder="1" applyAlignment="1"/>
    <xf numFmtId="10" fontId="0" fillId="0" borderId="149" xfId="1" applyNumberFormat="1" applyFont="1" applyBorder="1" applyAlignment="1"/>
    <xf numFmtId="0" fontId="40" fillId="30" borderId="124" xfId="0" applyFont="1" applyFill="1" applyBorder="1" applyAlignment="1"/>
    <xf numFmtId="10" fontId="40" fillId="30" borderId="96" xfId="1" applyNumberFormat="1" applyFont="1" applyFill="1" applyBorder="1" applyAlignment="1"/>
    <xf numFmtId="0" fontId="39" fillId="30" borderId="124" xfId="0" applyFont="1" applyFill="1" applyBorder="1" applyAlignment="1"/>
    <xf numFmtId="10" fontId="39" fillId="30" borderId="96" xfId="1" applyNumberFormat="1" applyFont="1" applyFill="1" applyBorder="1" applyAlignment="1"/>
    <xf numFmtId="0" fontId="40" fillId="31" borderId="124" xfId="0" applyFont="1" applyFill="1" applyBorder="1" applyAlignment="1"/>
    <xf numFmtId="10" fontId="40" fillId="31" borderId="96" xfId="0" applyNumberFormat="1" applyFont="1" applyFill="1" applyBorder="1" applyAlignment="1"/>
    <xf numFmtId="10" fontId="45" fillId="0" borderId="0" xfId="0" applyNumberFormat="1" applyFont="1" applyAlignment="1"/>
    <xf numFmtId="0" fontId="0" fillId="31" borderId="79" xfId="0" applyFont="1" applyFill="1" applyBorder="1" applyAlignment="1">
      <alignment horizontal="center" vertical="center"/>
    </xf>
    <xf numFmtId="0" fontId="0" fillId="31" borderId="79" xfId="0" applyFont="1" applyFill="1" applyBorder="1" applyAlignment="1">
      <alignment horizontal="center" vertical="center" wrapText="1"/>
    </xf>
    <xf numFmtId="44" fontId="0" fillId="0" borderId="0" xfId="0" applyNumberFormat="1" applyFont="1" applyAlignment="1"/>
    <xf numFmtId="0" fontId="0" fillId="0" borderId="150" xfId="0" applyFont="1" applyBorder="1" applyAlignment="1"/>
    <xf numFmtId="165" fontId="0" fillId="0" borderId="99" xfId="26" applyFont="1" applyBorder="1" applyAlignment="1"/>
    <xf numFmtId="165" fontId="0" fillId="0" borderId="151" xfId="26" applyFont="1" applyBorder="1" applyAlignment="1"/>
    <xf numFmtId="165" fontId="0" fillId="0" borderId="150" xfId="26" applyFont="1" applyBorder="1" applyAlignment="1"/>
    <xf numFmtId="10" fontId="0" fillId="0" borderId="150" xfId="0" applyNumberFormat="1" applyFont="1" applyBorder="1" applyAlignment="1"/>
    <xf numFmtId="165" fontId="0" fillId="0" borderId="101" xfId="26" applyFont="1" applyBorder="1" applyAlignment="1"/>
    <xf numFmtId="165" fontId="39" fillId="0" borderId="0" xfId="26" applyFont="1" applyAlignment="1"/>
    <xf numFmtId="0" fontId="47" fillId="3" borderId="30" xfId="0" applyFont="1" applyFill="1" applyBorder="1" applyAlignment="1"/>
    <xf numFmtId="165" fontId="39" fillId="7" borderId="79" xfId="26" applyFont="1" applyFill="1" applyBorder="1" applyAlignment="1">
      <alignment horizontal="center"/>
    </xf>
    <xf numFmtId="0" fontId="39" fillId="7" borderId="30" xfId="0" applyFont="1" applyFill="1" applyBorder="1" applyAlignment="1">
      <alignment horizontal="center"/>
    </xf>
    <xf numFmtId="165" fontId="39" fillId="0" borderId="79" xfId="26" applyFont="1" applyBorder="1"/>
    <xf numFmtId="0" fontId="39" fillId="0" borderId="30" xfId="0" applyFont="1" applyBorder="1"/>
    <xf numFmtId="0" fontId="48" fillId="28" borderId="79" xfId="0" applyFont="1" applyFill="1" applyBorder="1" applyAlignment="1"/>
    <xf numFmtId="165" fontId="39" fillId="28" borderId="0" xfId="26" applyFont="1" applyFill="1" applyAlignment="1"/>
    <xf numFmtId="0" fontId="39" fillId="28" borderId="0" xfId="0" applyFont="1" applyFill="1" applyAlignment="1"/>
    <xf numFmtId="0" fontId="40" fillId="29" borderId="30" xfId="0" applyFont="1" applyFill="1" applyBorder="1" applyAlignment="1"/>
    <xf numFmtId="165" fontId="39" fillId="28" borderId="79" xfId="26" applyFont="1" applyFill="1" applyBorder="1"/>
    <xf numFmtId="0" fontId="39" fillId="28" borderId="79" xfId="0" applyFont="1" applyFill="1" applyBorder="1" applyAlignment="1"/>
    <xf numFmtId="165" fontId="39" fillId="0" borderId="79" xfId="26" applyFont="1" applyFill="1" applyBorder="1"/>
    <xf numFmtId="165" fontId="39" fillId="0" borderId="79" xfId="26" applyFont="1" applyBorder="1" applyAlignment="1"/>
    <xf numFmtId="165" fontId="39" fillId="0" borderId="79" xfId="0" applyNumberFormat="1" applyFont="1" applyBorder="1" applyAlignment="1"/>
    <xf numFmtId="0" fontId="39" fillId="0" borderId="35" xfId="0" applyFont="1" applyBorder="1"/>
    <xf numFmtId="0" fontId="39" fillId="0" borderId="106" xfId="0" applyFont="1" applyBorder="1"/>
    <xf numFmtId="0" fontId="40" fillId="29" borderId="26" xfId="0" applyFont="1" applyFill="1" applyBorder="1" applyAlignment="1"/>
    <xf numFmtId="0" fontId="39" fillId="0" borderId="0" xfId="0" applyFont="1" applyBorder="1"/>
    <xf numFmtId="0" fontId="39" fillId="0" borderId="79" xfId="0" applyFont="1" applyFill="1" applyBorder="1" applyAlignment="1"/>
    <xf numFmtId="0" fontId="39" fillId="0" borderId="0" xfId="0" applyFont="1"/>
    <xf numFmtId="165" fontId="40" fillId="4" borderId="1" xfId="26" applyFont="1" applyFill="1" applyBorder="1"/>
    <xf numFmtId="165" fontId="40" fillId="14" borderId="1" xfId="26" applyFont="1" applyFill="1" applyBorder="1"/>
    <xf numFmtId="165" fontId="39" fillId="0" borderId="1" xfId="26" applyFont="1" applyBorder="1"/>
    <xf numFmtId="165" fontId="39" fillId="0" borderId="60" xfId="26" applyFont="1" applyBorder="1"/>
    <xf numFmtId="0" fontId="39" fillId="0" borderId="26" xfId="0" applyFont="1" applyBorder="1"/>
    <xf numFmtId="165" fontId="39" fillId="0" borderId="0" xfId="26" applyFont="1" applyBorder="1"/>
    <xf numFmtId="0" fontId="0" fillId="0" borderId="0" xfId="0" applyFont="1" applyFill="1" applyBorder="1" applyAlignment="1"/>
    <xf numFmtId="0" fontId="21" fillId="0" borderId="157" xfId="4" applyFont="1" applyBorder="1" applyAlignment="1">
      <alignment horizontal="left" vertical="center" wrapText="1"/>
    </xf>
    <xf numFmtId="0" fontId="19" fillId="0" borderId="157" xfId="2" applyFont="1" applyBorder="1">
      <alignment horizontal="center" vertical="center"/>
    </xf>
    <xf numFmtId="9" fontId="18" fillId="0" borderId="157" xfId="3" applyFont="1" applyBorder="1">
      <alignment horizontal="center" vertical="center"/>
    </xf>
    <xf numFmtId="0" fontId="16" fillId="0" borderId="158" xfId="2" applyBorder="1">
      <alignment horizontal="center" vertical="center"/>
    </xf>
    <xf numFmtId="0" fontId="16" fillId="0" borderId="159" xfId="2" applyBorder="1" applyAlignment="1">
      <alignment horizontal="center"/>
    </xf>
    <xf numFmtId="0" fontId="16" fillId="0" borderId="159" xfId="2" applyBorder="1">
      <alignment horizontal="center" vertical="center"/>
    </xf>
    <xf numFmtId="0" fontId="50" fillId="0" borderId="1" xfId="0" applyFont="1" applyBorder="1"/>
    <xf numFmtId="0" fontId="50" fillId="0" borderId="79" xfId="0" applyFont="1" applyBorder="1"/>
    <xf numFmtId="0" fontId="50" fillId="0" borderId="95" xfId="0" applyFont="1" applyBorder="1"/>
    <xf numFmtId="0" fontId="50" fillId="0" borderId="60" xfId="0" applyFont="1" applyBorder="1"/>
    <xf numFmtId="0" fontId="50" fillId="34" borderId="90" xfId="0" applyFont="1" applyFill="1" applyBorder="1"/>
    <xf numFmtId="0" fontId="50" fillId="0" borderId="90" xfId="0" applyFont="1" applyBorder="1"/>
    <xf numFmtId="178" fontId="4" fillId="0" borderId="79" xfId="1" applyNumberFormat="1" applyFont="1" applyBorder="1" applyAlignment="1"/>
    <xf numFmtId="9" fontId="4" fillId="0" borderId="79" xfId="1" applyNumberFormat="1" applyFont="1" applyBorder="1" applyAlignment="1"/>
    <xf numFmtId="0" fontId="33" fillId="0" borderId="79" xfId="22" applyFont="1" applyBorder="1"/>
    <xf numFmtId="169" fontId="33" fillId="0" borderId="79" xfId="22" applyNumberFormat="1" applyFont="1" applyBorder="1"/>
    <xf numFmtId="0" fontId="33" fillId="0" borderId="78" xfId="22" applyFont="1" applyBorder="1"/>
    <xf numFmtId="169" fontId="33" fillId="0" borderId="78" xfId="22" applyNumberFormat="1" applyFont="1" applyBorder="1"/>
    <xf numFmtId="0" fontId="30" fillId="0" borderId="91" xfId="22" applyFont="1" applyBorder="1"/>
    <xf numFmtId="0" fontId="30" fillId="0" borderId="91" xfId="22" applyFont="1" applyBorder="1" applyAlignment="1">
      <alignment wrapText="1"/>
    </xf>
    <xf numFmtId="46" fontId="30" fillId="0" borderId="91" xfId="22" applyNumberFormat="1" applyFont="1" applyBorder="1"/>
    <xf numFmtId="46" fontId="30" fillId="0" borderId="91" xfId="22" applyNumberFormat="1" applyFont="1" applyBorder="1" applyAlignment="1">
      <alignment wrapText="1"/>
    </xf>
    <xf numFmtId="22" fontId="30" fillId="0" borderId="91" xfId="22" applyNumberFormat="1" applyFont="1" applyBorder="1"/>
    <xf numFmtId="0" fontId="30" fillId="0" borderId="100" xfId="22" applyFont="1" applyBorder="1"/>
    <xf numFmtId="169" fontId="33" fillId="0" borderId="105" xfId="24" applyNumberFormat="1" applyFont="1" applyBorder="1"/>
    <xf numFmtId="0" fontId="33" fillId="0" borderId="115" xfId="22" applyFont="1" applyBorder="1"/>
    <xf numFmtId="0" fontId="8" fillId="0" borderId="35" xfId="0" applyFont="1" applyBorder="1"/>
    <xf numFmtId="0" fontId="2" fillId="0" borderId="79" xfId="0" applyFont="1" applyBorder="1" applyAlignment="1"/>
    <xf numFmtId="2" fontId="8" fillId="0" borderId="60" xfId="0" applyNumberFormat="1" applyFont="1" applyBorder="1"/>
    <xf numFmtId="0" fontId="2" fillId="0" borderId="78" xfId="0" applyFont="1" applyBorder="1" applyAlignment="1"/>
    <xf numFmtId="0" fontId="39" fillId="34" borderId="30" xfId="0" applyFont="1" applyFill="1" applyBorder="1"/>
    <xf numFmtId="0" fontId="0" fillId="0" borderId="116" xfId="0" applyFont="1" applyBorder="1" applyAlignment="1"/>
    <xf numFmtId="165" fontId="0" fillId="0" borderId="116" xfId="26" applyFont="1" applyBorder="1" applyAlignment="1"/>
    <xf numFmtId="165" fontId="0" fillId="0" borderId="0" xfId="26" applyFont="1" applyBorder="1" applyAlignment="1"/>
    <xf numFmtId="43" fontId="0" fillId="0" borderId="0" xfId="25" applyFont="1" applyAlignment="1"/>
    <xf numFmtId="44" fontId="0" fillId="0" borderId="99" xfId="0" applyNumberFormat="1" applyFont="1" applyBorder="1" applyAlignment="1"/>
    <xf numFmtId="0" fontId="39" fillId="0" borderId="163" xfId="0" applyFont="1" applyBorder="1" applyAlignment="1"/>
    <xf numFmtId="0" fontId="0" fillId="32" borderId="99" xfId="0" applyFont="1" applyFill="1" applyBorder="1" applyAlignment="1"/>
    <xf numFmtId="0" fontId="0" fillId="0" borderId="0" xfId="0" applyFont="1" applyFill="1" applyAlignment="1"/>
    <xf numFmtId="0" fontId="41" fillId="0" borderId="134" xfId="0" applyFont="1" applyBorder="1" applyAlignment="1"/>
    <xf numFmtId="0" fontId="41" fillId="0" borderId="130" xfId="0" applyFont="1" applyBorder="1" applyAlignment="1">
      <alignment horizontal="center" vertical="center"/>
    </xf>
    <xf numFmtId="0" fontId="0" fillId="0" borderId="0" xfId="0" applyFont="1" applyAlignment="1">
      <alignment wrapText="1"/>
    </xf>
    <xf numFmtId="0" fontId="51" fillId="0" borderId="0" xfId="22" applyFont="1" applyFill="1"/>
    <xf numFmtId="0" fontId="30" fillId="0" borderId="0" xfId="22" applyFont="1" applyFill="1"/>
    <xf numFmtId="0" fontId="29" fillId="0" borderId="0" xfId="22" applyFill="1" applyBorder="1" applyAlignment="1">
      <alignment vertical="top"/>
    </xf>
    <xf numFmtId="0" fontId="33" fillId="0" borderId="0" xfId="22" applyFont="1" applyFill="1" applyBorder="1" applyAlignment="1">
      <alignment vertical="top"/>
    </xf>
    <xf numFmtId="0" fontId="31" fillId="0" borderId="0" xfId="22" applyFont="1" applyFill="1" applyBorder="1" applyAlignment="1">
      <alignment vertical="center"/>
    </xf>
    <xf numFmtId="0" fontId="36" fillId="0" borderId="0" xfId="22" applyFont="1" applyFill="1" applyBorder="1" applyAlignment="1">
      <alignment shrinkToFit="1"/>
    </xf>
    <xf numFmtId="0" fontId="30" fillId="0" borderId="0" xfId="22" applyFont="1" applyFill="1" applyAlignment="1">
      <alignment vertical="center"/>
    </xf>
    <xf numFmtId="44" fontId="0" fillId="0" borderId="79" xfId="0" applyNumberFormat="1" applyFont="1" applyBorder="1" applyAlignment="1"/>
    <xf numFmtId="178" fontId="0" fillId="0" borderId="79" xfId="1" applyNumberFormat="1" applyFont="1" applyBorder="1" applyAlignment="1"/>
    <xf numFmtId="1" fontId="0" fillId="0" borderId="79" xfId="0" applyNumberFormat="1" applyFont="1" applyBorder="1" applyAlignment="1"/>
    <xf numFmtId="44" fontId="0" fillId="0" borderId="91" xfId="0" applyNumberFormat="1" applyFont="1" applyBorder="1" applyAlignment="1"/>
    <xf numFmtId="0" fontId="39" fillId="0" borderId="92" xfId="0" applyFont="1" applyBorder="1" applyAlignment="1"/>
    <xf numFmtId="1" fontId="0" fillId="0" borderId="110" xfId="0" applyNumberFormat="1" applyFont="1" applyBorder="1" applyAlignment="1"/>
    <xf numFmtId="44" fontId="0" fillId="0" borderId="110" xfId="0" applyNumberFormat="1" applyFont="1" applyBorder="1" applyAlignment="1"/>
    <xf numFmtId="44" fontId="0" fillId="0" borderId="93" xfId="0" applyNumberFormat="1" applyFont="1" applyBorder="1" applyAlignment="1"/>
    <xf numFmtId="1" fontId="40" fillId="0" borderId="126" xfId="0" applyNumberFormat="1" applyFont="1" applyBorder="1" applyAlignment="1"/>
    <xf numFmtId="44" fontId="40" fillId="0" borderId="124" xfId="0" applyNumberFormat="1" applyFont="1" applyBorder="1" applyAlignment="1"/>
    <xf numFmtId="44" fontId="40" fillId="0" borderId="96" xfId="0" applyNumberFormat="1" applyFont="1" applyBorder="1" applyAlignment="1"/>
    <xf numFmtId="165" fontId="0" fillId="0" borderId="110" xfId="26" applyFont="1" applyBorder="1" applyAlignment="1"/>
    <xf numFmtId="178" fontId="0" fillId="0" borderId="110" xfId="1" applyNumberFormat="1" applyFont="1" applyBorder="1" applyAlignment="1"/>
    <xf numFmtId="178" fontId="40" fillId="0" borderId="126" xfId="1" applyNumberFormat="1" applyFont="1" applyBorder="1" applyAlignment="1"/>
    <xf numFmtId="44" fontId="40" fillId="0" borderId="126" xfId="0" applyNumberFormat="1" applyFont="1" applyBorder="1" applyAlignment="1"/>
    <xf numFmtId="1" fontId="40" fillId="0" borderId="133" xfId="0" applyNumberFormat="1" applyFont="1" applyBorder="1" applyAlignment="1"/>
    <xf numFmtId="44" fontId="40" fillId="0" borderId="148" xfId="0" applyNumberFormat="1" applyFont="1" applyBorder="1" applyAlignment="1"/>
    <xf numFmtId="44" fontId="40" fillId="0" borderId="149" xfId="0" applyNumberFormat="1" applyFont="1" applyBorder="1" applyAlignment="1"/>
    <xf numFmtId="44" fontId="0" fillId="0" borderId="95" xfId="0" applyNumberFormat="1" applyFont="1" applyBorder="1" applyAlignment="1"/>
    <xf numFmtId="178" fontId="0" fillId="0" borderId="95" xfId="1" applyNumberFormat="1" applyFont="1" applyBorder="1" applyAlignment="1"/>
    <xf numFmtId="44" fontId="0" fillId="0" borderId="102" xfId="0" applyNumberFormat="1" applyFont="1" applyBorder="1" applyAlignment="1"/>
    <xf numFmtId="0" fontId="39" fillId="28" borderId="124" xfId="0" applyFont="1" applyFill="1" applyBorder="1" applyAlignment="1">
      <alignment horizontal="center" vertical="center" wrapText="1"/>
    </xf>
    <xf numFmtId="0" fontId="39" fillId="28" borderId="105" xfId="0" applyFont="1" applyFill="1" applyBorder="1" applyAlignment="1">
      <alignment horizontal="center" vertical="center" wrapText="1"/>
    </xf>
    <xf numFmtId="0" fontId="39" fillId="28" borderId="96" xfId="0" applyFont="1" applyFill="1" applyBorder="1" applyAlignment="1">
      <alignment horizontal="center" vertical="center" wrapText="1"/>
    </xf>
    <xf numFmtId="1" fontId="0" fillId="0" borderId="95" xfId="0" applyNumberFormat="1" applyFont="1" applyBorder="1" applyAlignment="1"/>
    <xf numFmtId="0" fontId="39" fillId="0" borderId="0" xfId="0" applyFont="1" applyFill="1" applyBorder="1" applyAlignment="1"/>
    <xf numFmtId="0" fontId="28" fillId="38" borderId="79" xfId="0" applyFont="1" applyFill="1" applyBorder="1"/>
    <xf numFmtId="179" fontId="53" fillId="0" borderId="79" xfId="26" applyNumberFormat="1" applyFont="1" applyBorder="1"/>
    <xf numFmtId="0" fontId="28" fillId="39" borderId="79" xfId="0" applyFont="1" applyFill="1" applyBorder="1"/>
    <xf numFmtId="179" fontId="54" fillId="39" borderId="79" xfId="26" applyNumberFormat="1" applyFont="1" applyFill="1" applyBorder="1"/>
    <xf numFmtId="179" fontId="28" fillId="39" borderId="79" xfId="26" applyNumberFormat="1" applyFont="1" applyFill="1" applyBorder="1"/>
    <xf numFmtId="165" fontId="0" fillId="0" borderId="0" xfId="26" applyFont="1" applyFill="1" applyAlignment="1"/>
    <xf numFmtId="165" fontId="0" fillId="0" borderId="161" xfId="26" applyFont="1" applyBorder="1" applyAlignment="1"/>
    <xf numFmtId="165" fontId="8" fillId="0" borderId="95" xfId="26" applyFont="1" applyBorder="1"/>
    <xf numFmtId="165" fontId="8" fillId="0" borderId="79" xfId="26" applyFont="1" applyBorder="1"/>
    <xf numFmtId="0" fontId="52" fillId="0" borderId="0" xfId="27" applyFill="1" applyAlignment="1"/>
    <xf numFmtId="165" fontId="8" fillId="0" borderId="78" xfId="26" applyFont="1" applyBorder="1"/>
    <xf numFmtId="165" fontId="4" fillId="0" borderId="126" xfId="0" applyNumberFormat="1" applyFont="1" applyBorder="1" applyAlignment="1"/>
    <xf numFmtId="0" fontId="28" fillId="0" borderId="0" xfId="0" applyFont="1" applyFill="1" applyBorder="1"/>
    <xf numFmtId="179" fontId="0" fillId="0" borderId="0" xfId="26" applyNumberFormat="1" applyFont="1" applyFill="1" applyBorder="1"/>
    <xf numFmtId="179" fontId="53" fillId="0" borderId="0" xfId="26" applyNumberFormat="1" applyFont="1" applyFill="1" applyBorder="1"/>
    <xf numFmtId="179" fontId="28" fillId="0" borderId="0" xfId="26" applyNumberFormat="1" applyFont="1" applyFill="1" applyBorder="1"/>
    <xf numFmtId="9" fontId="0" fillId="0" borderId="0" xfId="0" applyNumberFormat="1" applyFont="1" applyFill="1" applyAlignment="1"/>
    <xf numFmtId="0" fontId="28" fillId="40" borderId="79" xfId="0" applyFont="1" applyFill="1" applyBorder="1"/>
    <xf numFmtId="165" fontId="53" fillId="0" borderId="79" xfId="26" applyFont="1" applyBorder="1"/>
    <xf numFmtId="0" fontId="28" fillId="42" borderId="79" xfId="0" applyFont="1" applyFill="1" applyBorder="1" applyAlignment="1">
      <alignment horizontal="center"/>
    </xf>
    <xf numFmtId="0" fontId="28" fillId="42" borderId="79" xfId="0" applyFont="1" applyFill="1" applyBorder="1"/>
    <xf numFmtId="44" fontId="0" fillId="0" borderId="0" xfId="0" applyNumberFormat="1" applyFont="1" applyAlignment="1">
      <alignment horizontal="center"/>
    </xf>
    <xf numFmtId="0" fontId="0" fillId="0" borderId="0" xfId="0"/>
    <xf numFmtId="0" fontId="0" fillId="0" borderId="0" xfId="0" applyFill="1" applyBorder="1" applyAlignment="1">
      <alignment horizontal="center"/>
    </xf>
    <xf numFmtId="179" fontId="0" fillId="0" borderId="0" xfId="0" applyNumberFormat="1" applyFill="1" applyBorder="1"/>
    <xf numFmtId="181" fontId="0" fillId="0" borderId="0" xfId="0" applyNumberFormat="1" applyFill="1" applyBorder="1"/>
    <xf numFmtId="0" fontId="28" fillId="24" borderId="116" xfId="0" applyFont="1" applyFill="1" applyBorder="1"/>
    <xf numFmtId="0" fontId="28" fillId="24" borderId="117" xfId="0" applyFont="1" applyFill="1" applyBorder="1" applyAlignment="1"/>
    <xf numFmtId="0" fontId="28" fillId="24" borderId="89" xfId="0" applyFont="1" applyFill="1" applyBorder="1"/>
    <xf numFmtId="0" fontId="15" fillId="17" borderId="1" xfId="0" applyFont="1" applyFill="1" applyBorder="1" applyAlignment="1">
      <alignment horizontal="center"/>
    </xf>
    <xf numFmtId="0" fontId="11" fillId="11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right"/>
    </xf>
    <xf numFmtId="0" fontId="50" fillId="44" borderId="95" xfId="0" applyFont="1" applyFill="1" applyBorder="1"/>
    <xf numFmtId="0" fontId="8" fillId="44" borderId="79" xfId="0" applyFont="1" applyFill="1" applyBorder="1"/>
    <xf numFmtId="0" fontId="50" fillId="44" borderId="79" xfId="0" applyFont="1" applyFill="1" applyBorder="1"/>
    <xf numFmtId="0" fontId="8" fillId="44" borderId="110" xfId="0" applyFont="1" applyFill="1" applyBorder="1"/>
    <xf numFmtId="0" fontId="28" fillId="45" borderId="124" xfId="0" applyFont="1" applyFill="1" applyBorder="1" applyAlignment="1">
      <alignment horizontal="center" vertical="center"/>
    </xf>
    <xf numFmtId="0" fontId="28" fillId="45" borderId="105" xfId="0" applyFont="1" applyFill="1" applyBorder="1" applyAlignment="1">
      <alignment horizontal="center" vertical="center" wrapText="1"/>
    </xf>
    <xf numFmtId="0" fontId="28" fillId="45" borderId="105" xfId="0" applyFont="1" applyFill="1" applyBorder="1" applyAlignment="1">
      <alignment horizontal="center" vertical="center"/>
    </xf>
    <xf numFmtId="9" fontId="28" fillId="45" borderId="105" xfId="1" applyFont="1" applyFill="1" applyBorder="1" applyAlignment="1">
      <alignment horizontal="center" vertical="center"/>
    </xf>
    <xf numFmtId="0" fontId="28" fillId="45" borderId="96" xfId="0" applyFont="1" applyFill="1" applyBorder="1" applyAlignment="1">
      <alignment horizontal="center" vertical="center"/>
    </xf>
    <xf numFmtId="0" fontId="39" fillId="0" borderId="0" xfId="21" applyFont="1"/>
    <xf numFmtId="0" fontId="40" fillId="30" borderId="79" xfId="21" applyFont="1" applyFill="1" applyBorder="1" applyAlignment="1">
      <alignment horizontal="center" vertical="center" wrapText="1"/>
    </xf>
    <xf numFmtId="0" fontId="40" fillId="30" borderId="79" xfId="21" applyFont="1" applyFill="1" applyBorder="1" applyAlignment="1">
      <alignment horizontal="center" vertical="center"/>
    </xf>
    <xf numFmtId="0" fontId="56" fillId="33" borderId="88" xfId="21" applyFont="1" applyFill="1" applyBorder="1" applyAlignment="1">
      <alignment horizontal="center" vertical="center"/>
    </xf>
    <xf numFmtId="0" fontId="39" fillId="0" borderId="79" xfId="21" applyFont="1" applyBorder="1" applyAlignment="1">
      <alignment vertical="center" wrapText="1"/>
    </xf>
    <xf numFmtId="0" fontId="39" fillId="0" borderId="79" xfId="21" applyFont="1" applyBorder="1" applyAlignment="1">
      <alignment horizontal="center" vertical="center"/>
    </xf>
    <xf numFmtId="21" fontId="39" fillId="0" borderId="79" xfId="21" applyNumberFormat="1" applyFont="1" applyBorder="1" applyAlignment="1">
      <alignment horizontal="center" vertical="center"/>
    </xf>
    <xf numFmtId="0" fontId="39" fillId="34" borderId="0" xfId="21" applyFont="1" applyFill="1"/>
    <xf numFmtId="0" fontId="39" fillId="0" borderId="90" xfId="21" applyFont="1" applyBorder="1" applyAlignment="1">
      <alignment horizontal="center" vertical="center"/>
    </xf>
    <xf numFmtId="0" fontId="39" fillId="0" borderId="106" xfId="21" applyFont="1" applyBorder="1" applyAlignment="1">
      <alignment vertical="center"/>
    </xf>
    <xf numFmtId="0" fontId="39" fillId="0" borderId="137" xfId="21" applyFont="1" applyBorder="1" applyAlignment="1">
      <alignment vertical="center"/>
    </xf>
    <xf numFmtId="0" fontId="39" fillId="0" borderId="92" xfId="21" applyFont="1" applyBorder="1" applyAlignment="1">
      <alignment horizontal="center" vertical="center"/>
    </xf>
    <xf numFmtId="0" fontId="39" fillId="0" borderId="136" xfId="21" applyFont="1" applyBorder="1" applyAlignment="1">
      <alignment vertical="center"/>
    </xf>
    <xf numFmtId="0" fontId="39" fillId="0" borderId="141" xfId="21" applyFont="1" applyBorder="1" applyAlignment="1">
      <alignment vertical="center"/>
    </xf>
    <xf numFmtId="0" fontId="39" fillId="0" borderId="0" xfId="21" applyFont="1" applyBorder="1"/>
    <xf numFmtId="21" fontId="39" fillId="0" borderId="79" xfId="21" applyNumberFormat="1" applyFont="1" applyBorder="1" applyAlignment="1">
      <alignment horizontal="center" vertical="center" wrapText="1"/>
    </xf>
    <xf numFmtId="0" fontId="39" fillId="34" borderId="0" xfId="21" applyFont="1" applyFill="1" applyAlignment="1"/>
    <xf numFmtId="0" fontId="56" fillId="0" borderId="0" xfId="21" applyFont="1" applyFill="1" applyBorder="1" applyAlignment="1">
      <alignment horizontal="center" vertical="center" wrapText="1"/>
    </xf>
    <xf numFmtId="46" fontId="39" fillId="0" borderId="79" xfId="21" applyNumberFormat="1" applyFont="1" applyBorder="1" applyAlignment="1">
      <alignment horizontal="center" vertical="center"/>
    </xf>
    <xf numFmtId="0" fontId="39" fillId="0" borderId="0" xfId="21" applyFont="1" applyAlignment="1">
      <alignment wrapText="1"/>
    </xf>
    <xf numFmtId="0" fontId="1" fillId="0" borderId="0" xfId="0" applyFont="1" applyAlignment="1"/>
    <xf numFmtId="0" fontId="57" fillId="2" borderId="1" xfId="0" applyFont="1" applyFill="1" applyBorder="1" applyAlignment="1"/>
    <xf numFmtId="0" fontId="57" fillId="2" borderId="3" xfId="0" applyFont="1" applyFill="1" applyBorder="1" applyAlignment="1">
      <alignment horizontal="center"/>
    </xf>
    <xf numFmtId="0" fontId="57" fillId="2" borderId="32" xfId="0" applyFont="1" applyFill="1" applyBorder="1" applyAlignment="1">
      <alignment horizontal="center"/>
    </xf>
    <xf numFmtId="0" fontId="58" fillId="5" borderId="5" xfId="0" applyFont="1" applyFill="1" applyBorder="1" applyAlignment="1"/>
    <xf numFmtId="174" fontId="58" fillId="5" borderId="1" xfId="25" applyNumberFormat="1" applyFont="1" applyFill="1" applyBorder="1" applyAlignment="1">
      <alignment horizontal="center"/>
    </xf>
    <xf numFmtId="9" fontId="58" fillId="5" borderId="28" xfId="1" applyFont="1" applyFill="1" applyBorder="1" applyAlignment="1">
      <alignment horizontal="center"/>
    </xf>
    <xf numFmtId="0" fontId="58" fillId="5" borderId="8" xfId="0" applyFont="1" applyFill="1" applyBorder="1" applyAlignment="1">
      <alignment horizontal="center"/>
    </xf>
    <xf numFmtId="175" fontId="58" fillId="5" borderId="1" xfId="25" applyNumberFormat="1" applyFont="1" applyFill="1" applyBorder="1" applyAlignment="1">
      <alignment horizontal="center"/>
    </xf>
    <xf numFmtId="0" fontId="57" fillId="2" borderId="1" xfId="0" applyFont="1" applyFill="1" applyBorder="1" applyAlignment="1">
      <alignment horizontal="center"/>
    </xf>
    <xf numFmtId="172" fontId="58" fillId="5" borderId="1" xfId="25" applyNumberFormat="1" applyFont="1" applyFill="1" applyBorder="1" applyAlignment="1">
      <alignment horizontal="center"/>
    </xf>
    <xf numFmtId="2" fontId="57" fillId="5" borderId="5" xfId="0" applyNumberFormat="1" applyFont="1" applyFill="1" applyBorder="1" applyAlignment="1">
      <alignment horizontal="center"/>
    </xf>
    <xf numFmtId="0" fontId="58" fillId="5" borderId="53" xfId="0" applyFont="1" applyFill="1" applyBorder="1" applyAlignment="1"/>
    <xf numFmtId="0" fontId="58" fillId="5" borderId="28" xfId="0" applyFont="1" applyFill="1" applyBorder="1" applyAlignment="1">
      <alignment horizontal="center"/>
    </xf>
    <xf numFmtId="173" fontId="58" fillId="5" borderId="1" xfId="25" applyNumberFormat="1" applyFont="1" applyFill="1" applyBorder="1" applyAlignment="1">
      <alignment horizontal="center"/>
    </xf>
    <xf numFmtId="0" fontId="57" fillId="8" borderId="5" xfId="0" applyFont="1" applyFill="1" applyBorder="1" applyAlignment="1"/>
    <xf numFmtId="43" fontId="57" fillId="27" borderId="1" xfId="25" applyNumberFormat="1" applyFont="1" applyFill="1" applyBorder="1" applyAlignment="1">
      <alignment horizontal="center"/>
    </xf>
    <xf numFmtId="168" fontId="58" fillId="8" borderId="28" xfId="0" applyNumberFormat="1" applyFont="1" applyFill="1" applyBorder="1" applyAlignment="1">
      <alignment horizontal="center"/>
    </xf>
    <xf numFmtId="0" fontId="58" fillId="8" borderId="8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57" fillId="0" borderId="0" xfId="0" applyFont="1" applyFill="1" applyBorder="1" applyAlignment="1"/>
    <xf numFmtId="0" fontId="57" fillId="0" borderId="0" xfId="0" applyFont="1" applyFill="1" applyBorder="1" applyAlignment="1">
      <alignment horizontal="center"/>
    </xf>
    <xf numFmtId="0" fontId="58" fillId="0" borderId="0" xfId="0" applyFont="1" applyFill="1" applyBorder="1" applyAlignment="1"/>
    <xf numFmtId="174" fontId="58" fillId="0" borderId="0" xfId="25" applyNumberFormat="1" applyFont="1" applyFill="1" applyBorder="1" applyAlignment="1">
      <alignment horizontal="center"/>
    </xf>
    <xf numFmtId="9" fontId="58" fillId="0" borderId="0" xfId="1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/>
    </xf>
    <xf numFmtId="175" fontId="58" fillId="0" borderId="0" xfId="25" applyNumberFormat="1" applyFont="1" applyFill="1" applyBorder="1" applyAlignment="1">
      <alignment horizontal="center"/>
    </xf>
    <xf numFmtId="2" fontId="57" fillId="0" borderId="0" xfId="0" applyNumberFormat="1" applyFont="1" applyFill="1" applyBorder="1" applyAlignment="1">
      <alignment horizontal="center"/>
    </xf>
    <xf numFmtId="172" fontId="58" fillId="0" borderId="0" xfId="25" applyNumberFormat="1" applyFont="1" applyFill="1" applyBorder="1" applyAlignment="1">
      <alignment horizontal="center"/>
    </xf>
    <xf numFmtId="173" fontId="58" fillId="0" borderId="0" xfId="25" applyNumberFormat="1" applyFont="1" applyFill="1" applyBorder="1" applyAlignment="1">
      <alignment horizontal="center"/>
    </xf>
    <xf numFmtId="43" fontId="57" fillId="0" borderId="0" xfId="25" applyNumberFormat="1" applyFont="1" applyFill="1" applyBorder="1" applyAlignment="1">
      <alignment horizontal="center"/>
    </xf>
    <xf numFmtId="168" fontId="58" fillId="0" borderId="0" xfId="0" applyNumberFormat="1" applyFont="1" applyFill="1" applyBorder="1" applyAlignment="1">
      <alignment horizontal="center"/>
    </xf>
    <xf numFmtId="0" fontId="40" fillId="45" borderId="124" xfId="0" applyFont="1" applyFill="1" applyBorder="1" applyAlignment="1">
      <alignment horizontal="center" vertical="center"/>
    </xf>
    <xf numFmtId="0" fontId="40" fillId="45" borderId="105" xfId="0" applyFont="1" applyFill="1" applyBorder="1" applyAlignment="1">
      <alignment horizontal="center" vertical="center"/>
    </xf>
    <xf numFmtId="165" fontId="40" fillId="45" borderId="105" xfId="0" applyNumberFormat="1" applyFont="1" applyFill="1" applyBorder="1" applyAlignment="1">
      <alignment horizontal="center" vertical="center"/>
    </xf>
    <xf numFmtId="0" fontId="40" fillId="45" borderId="96" xfId="0" applyFont="1" applyFill="1" applyBorder="1" applyAlignment="1">
      <alignment horizontal="center" vertical="center" wrapText="1"/>
    </xf>
    <xf numFmtId="0" fontId="40" fillId="45" borderId="105" xfId="0" applyFont="1" applyFill="1" applyBorder="1" applyAlignment="1">
      <alignment horizontal="center" vertical="center" wrapText="1"/>
    </xf>
    <xf numFmtId="44" fontId="40" fillId="0" borderId="79" xfId="0" applyNumberFormat="1" applyFont="1" applyBorder="1" applyAlignment="1"/>
    <xf numFmtId="165" fontId="40" fillId="0" borderId="79" xfId="26" applyFont="1" applyBorder="1" applyAlignment="1"/>
    <xf numFmtId="0" fontId="45" fillId="0" borderId="0" xfId="0" applyFont="1" applyAlignment="1"/>
    <xf numFmtId="0" fontId="45" fillId="0" borderId="0" xfId="0" applyFont="1" applyAlignment="1">
      <alignment horizontal="center" vertical="center"/>
    </xf>
    <xf numFmtId="0" fontId="39" fillId="46" borderId="79" xfId="0" applyFont="1" applyFill="1" applyBorder="1" applyAlignment="1"/>
    <xf numFmtId="44" fontId="45" fillId="0" borderId="0" xfId="0" applyNumberFormat="1" applyFont="1" applyAlignment="1"/>
    <xf numFmtId="0" fontId="40" fillId="4" borderId="30" xfId="0" applyFont="1" applyFill="1" applyBorder="1"/>
    <xf numFmtId="0" fontId="40" fillId="14" borderId="30" xfId="0" applyFont="1" applyFill="1" applyBorder="1"/>
    <xf numFmtId="0" fontId="47" fillId="3" borderId="106" xfId="0" applyFont="1" applyFill="1" applyBorder="1" applyAlignment="1"/>
    <xf numFmtId="0" fontId="39" fillId="7" borderId="106" xfId="0" applyFont="1" applyFill="1" applyBorder="1" applyAlignment="1">
      <alignment horizontal="center"/>
    </xf>
    <xf numFmtId="0" fontId="40" fillId="29" borderId="106" xfId="0" applyFont="1" applyFill="1" applyBorder="1" applyAlignment="1"/>
    <xf numFmtId="0" fontId="40" fillId="10" borderId="106" xfId="0" applyFont="1" applyFill="1" applyBorder="1" applyAlignment="1"/>
    <xf numFmtId="0" fontId="39" fillId="0" borderId="106" xfId="0" applyFont="1" applyFill="1" applyBorder="1"/>
    <xf numFmtId="0" fontId="39" fillId="0" borderId="161" xfId="0" applyFont="1" applyFill="1" applyBorder="1" applyAlignment="1"/>
    <xf numFmtId="0" fontId="39" fillId="7" borderId="170" xfId="0" applyFont="1" applyFill="1" applyBorder="1" applyAlignment="1">
      <alignment horizontal="center"/>
    </xf>
    <xf numFmtId="0" fontId="39" fillId="0" borderId="170" xfId="0" applyFont="1" applyBorder="1"/>
    <xf numFmtId="0" fontId="48" fillId="28" borderId="170" xfId="0" applyFont="1" applyFill="1" applyBorder="1" applyAlignment="1"/>
    <xf numFmtId="2" fontId="39" fillId="0" borderId="170" xfId="0" applyNumberFormat="1" applyFont="1" applyBorder="1"/>
    <xf numFmtId="1" fontId="39" fillId="0" borderId="170" xfId="0" applyNumberFormat="1" applyFont="1" applyBorder="1"/>
    <xf numFmtId="0" fontId="40" fillId="4" borderId="171" xfId="0" applyFont="1" applyFill="1" applyBorder="1"/>
    <xf numFmtId="0" fontId="40" fillId="14" borderId="171" xfId="0" applyFont="1" applyFill="1" applyBorder="1"/>
    <xf numFmtId="0" fontId="39" fillId="0" borderId="171" xfId="0" applyFont="1" applyBorder="1"/>
    <xf numFmtId="1" fontId="39" fillId="0" borderId="171" xfId="0" applyNumberFormat="1" applyFont="1" applyBorder="1"/>
    <xf numFmtId="2" fontId="39" fillId="0" borderId="171" xfId="0" applyNumberFormat="1" applyFont="1" applyBorder="1"/>
    <xf numFmtId="168" fontId="39" fillId="0" borderId="171" xfId="0" applyNumberFormat="1" applyFont="1" applyBorder="1"/>
    <xf numFmtId="0" fontId="48" fillId="28" borderId="170" xfId="0" applyFont="1" applyFill="1" applyBorder="1" applyAlignment="1">
      <alignment horizontal="center"/>
    </xf>
    <xf numFmtId="0" fontId="40" fillId="25" borderId="171" xfId="0" applyFont="1" applyFill="1" applyBorder="1"/>
    <xf numFmtId="165" fontId="39" fillId="7" borderId="172" xfId="26" applyFont="1" applyFill="1" applyBorder="1" applyAlignment="1">
      <alignment horizontal="center"/>
    </xf>
    <xf numFmtId="165" fontId="39" fillId="0" borderId="172" xfId="26" applyFont="1" applyBorder="1"/>
    <xf numFmtId="165" fontId="39" fillId="28" borderId="172" xfId="26" applyFont="1" applyFill="1" applyBorder="1"/>
    <xf numFmtId="165" fontId="39" fillId="0" borderId="160" xfId="26" applyFont="1" applyBorder="1" applyAlignment="1"/>
    <xf numFmtId="165" fontId="40" fillId="4" borderId="174" xfId="26" applyFont="1" applyFill="1" applyBorder="1"/>
    <xf numFmtId="165" fontId="40" fillId="14" borderId="174" xfId="26" applyFont="1" applyFill="1" applyBorder="1"/>
    <xf numFmtId="165" fontId="39" fillId="0" borderId="174" xfId="26" applyFont="1" applyBorder="1"/>
    <xf numFmtId="0" fontId="39" fillId="7" borderId="90" xfId="0" applyFont="1" applyFill="1" applyBorder="1" applyAlignment="1">
      <alignment horizontal="right"/>
    </xf>
    <xf numFmtId="0" fontId="39" fillId="0" borderId="90" xfId="0" applyFont="1" applyBorder="1" applyAlignment="1">
      <alignment horizontal="right"/>
    </xf>
    <xf numFmtId="0" fontId="48" fillId="28" borderId="90" xfId="0" applyFont="1" applyFill="1" applyBorder="1" applyAlignment="1">
      <alignment horizontal="right"/>
    </xf>
    <xf numFmtId="2" fontId="39" fillId="0" borderId="90" xfId="0" applyNumberFormat="1" applyFont="1" applyBorder="1" applyAlignment="1">
      <alignment horizontal="right"/>
    </xf>
    <xf numFmtId="1" fontId="39" fillId="0" borderId="90" xfId="0" applyNumberFormat="1" applyFont="1" applyBorder="1" applyAlignment="1">
      <alignment horizontal="right"/>
    </xf>
    <xf numFmtId="0" fontId="39" fillId="0" borderId="111" xfId="0" applyFont="1" applyBorder="1" applyAlignment="1">
      <alignment horizontal="right"/>
    </xf>
    <xf numFmtId="0" fontId="40" fillId="4" borderId="169" xfId="0" applyFont="1" applyFill="1" applyBorder="1" applyAlignment="1">
      <alignment horizontal="right"/>
    </xf>
    <xf numFmtId="0" fontId="40" fillId="14" borderId="169" xfId="0" applyFont="1" applyFill="1" applyBorder="1" applyAlignment="1">
      <alignment horizontal="right"/>
    </xf>
    <xf numFmtId="0" fontId="39" fillId="0" borderId="169" xfId="0" applyFont="1" applyBorder="1" applyAlignment="1">
      <alignment horizontal="right"/>
    </xf>
    <xf numFmtId="1" fontId="39" fillId="0" borderId="169" xfId="0" applyNumberFormat="1" applyFont="1" applyBorder="1" applyAlignment="1">
      <alignment horizontal="right"/>
    </xf>
    <xf numFmtId="2" fontId="39" fillId="0" borderId="169" xfId="0" applyNumberFormat="1" applyFont="1" applyBorder="1" applyAlignment="1">
      <alignment horizontal="right"/>
    </xf>
    <xf numFmtId="0" fontId="39" fillId="0" borderId="175" xfId="0" applyFont="1" applyBorder="1" applyAlignment="1">
      <alignment horizontal="right"/>
    </xf>
    <xf numFmtId="0" fontId="40" fillId="28" borderId="78" xfId="0" applyFont="1" applyFill="1" applyBorder="1" applyAlignment="1">
      <alignment horizontal="center" vertical="center"/>
    </xf>
    <xf numFmtId="0" fontId="40" fillId="28" borderId="78" xfId="0" applyFont="1" applyFill="1" applyBorder="1" applyAlignment="1">
      <alignment horizontal="center" vertical="center" wrapText="1"/>
    </xf>
    <xf numFmtId="0" fontId="40" fillId="28" borderId="79" xfId="0" applyFont="1" applyFill="1" applyBorder="1" applyAlignment="1">
      <alignment horizontal="center" vertical="center" wrapText="1"/>
    </xf>
    <xf numFmtId="0" fontId="56" fillId="28" borderId="78" xfId="0" applyFont="1" applyFill="1" applyBorder="1" applyAlignment="1">
      <alignment horizontal="center" vertical="center"/>
    </xf>
    <xf numFmtId="176" fontId="0" fillId="0" borderId="79" xfId="0" applyNumberFormat="1" applyFont="1" applyBorder="1" applyAlignment="1"/>
    <xf numFmtId="0" fontId="40" fillId="36" borderId="79" xfId="0" applyFont="1" applyFill="1" applyBorder="1" applyAlignment="1"/>
    <xf numFmtId="176" fontId="40" fillId="36" borderId="79" xfId="0" applyNumberFormat="1" applyFont="1" applyFill="1" applyBorder="1" applyAlignment="1"/>
    <xf numFmtId="165" fontId="40" fillId="36" borderId="95" xfId="26" applyFont="1" applyFill="1" applyBorder="1" applyAlignment="1"/>
    <xf numFmtId="165" fontId="40" fillId="36" borderId="0" xfId="26" applyFont="1" applyFill="1" applyAlignment="1"/>
    <xf numFmtId="0" fontId="40" fillId="36" borderId="0" xfId="0" applyFont="1" applyFill="1" applyAlignment="1"/>
    <xf numFmtId="0" fontId="40" fillId="36" borderId="170" xfId="0" applyFont="1" applyFill="1" applyBorder="1" applyAlignment="1"/>
    <xf numFmtId="0" fontId="40" fillId="36" borderId="106" xfId="0" applyFont="1" applyFill="1" applyBorder="1" applyAlignment="1"/>
    <xf numFmtId="165" fontId="40" fillId="36" borderId="173" xfId="26" applyFont="1" applyFill="1" applyBorder="1" applyAlignment="1"/>
    <xf numFmtId="0" fontId="40" fillId="41" borderId="124" xfId="0" applyFont="1" applyFill="1" applyBorder="1" applyAlignment="1"/>
    <xf numFmtId="0" fontId="40" fillId="41" borderId="105" xfId="0" applyFont="1" applyFill="1" applyBorder="1" applyAlignment="1">
      <alignment horizontal="center"/>
    </xf>
    <xf numFmtId="165" fontId="40" fillId="41" borderId="105" xfId="0" applyNumberFormat="1" applyFont="1" applyFill="1" applyBorder="1" applyAlignment="1">
      <alignment horizontal="center"/>
    </xf>
    <xf numFmtId="165" fontId="40" fillId="41" borderId="96" xfId="0" applyNumberFormat="1" applyFont="1" applyFill="1" applyBorder="1" applyAlignment="1">
      <alignment horizontal="center"/>
    </xf>
    <xf numFmtId="0" fontId="40" fillId="41" borderId="105" xfId="0" applyFont="1" applyFill="1" applyBorder="1" applyAlignment="1"/>
    <xf numFmtId="0" fontId="40" fillId="41" borderId="96" xfId="0" applyFont="1" applyFill="1" applyBorder="1" applyAlignment="1"/>
    <xf numFmtId="182" fontId="0" fillId="0" borderId="95" xfId="0" applyNumberFormat="1" applyFont="1" applyBorder="1" applyAlignment="1"/>
    <xf numFmtId="182" fontId="0" fillId="0" borderId="100" xfId="0" applyNumberFormat="1" applyFont="1" applyBorder="1" applyAlignment="1"/>
    <xf numFmtId="0" fontId="40" fillId="46" borderId="124" xfId="0" applyFont="1" applyFill="1" applyBorder="1" applyAlignment="1"/>
    <xf numFmtId="0" fontId="40" fillId="46" borderId="105" xfId="0" applyFont="1" applyFill="1" applyBorder="1" applyAlignment="1"/>
    <xf numFmtId="0" fontId="40" fillId="31" borderId="105" xfId="0" applyFont="1" applyFill="1" applyBorder="1" applyAlignment="1"/>
    <xf numFmtId="0" fontId="40" fillId="31" borderId="96" xfId="0" applyFont="1" applyFill="1" applyBorder="1" applyAlignment="1"/>
    <xf numFmtId="0" fontId="40" fillId="30" borderId="105" xfId="0" applyFont="1" applyFill="1" applyBorder="1" applyAlignment="1"/>
    <xf numFmtId="0" fontId="40" fillId="0" borderId="0" xfId="0" applyFont="1" applyFill="1" applyBorder="1" applyAlignment="1"/>
    <xf numFmtId="0" fontId="40" fillId="15" borderId="79" xfId="0" applyFont="1" applyFill="1" applyBorder="1" applyAlignment="1"/>
    <xf numFmtId="0" fontId="0" fillId="0" borderId="91" xfId="0" applyFont="1" applyBorder="1" applyAlignment="1"/>
    <xf numFmtId="0" fontId="40" fillId="15" borderId="93" xfId="0" applyFont="1" applyFill="1" applyBorder="1" applyAlignment="1"/>
    <xf numFmtId="165" fontId="40" fillId="15" borderId="79" xfId="0" applyNumberFormat="1" applyFont="1" applyFill="1" applyBorder="1" applyAlignment="1"/>
    <xf numFmtId="165" fontId="39" fillId="47" borderId="79" xfId="26" applyFont="1" applyFill="1" applyBorder="1" applyAlignment="1">
      <alignment horizontal="right"/>
    </xf>
    <xf numFmtId="165" fontId="0" fillId="47" borderId="79" xfId="26" applyFont="1" applyFill="1" applyBorder="1" applyAlignment="1"/>
    <xf numFmtId="0" fontId="40" fillId="41" borderId="152" xfId="0" applyFont="1" applyFill="1" applyBorder="1" applyAlignment="1">
      <alignment horizontal="center"/>
    </xf>
    <xf numFmtId="165" fontId="40" fillId="41" borderId="153" xfId="26" applyFont="1" applyFill="1" applyBorder="1" applyAlignment="1">
      <alignment horizontal="center"/>
    </xf>
    <xf numFmtId="165" fontId="40" fillId="41" borderId="154" xfId="26" applyFont="1" applyFill="1" applyBorder="1" applyAlignment="1">
      <alignment horizontal="center"/>
    </xf>
    <xf numFmtId="0" fontId="46" fillId="42" borderId="152" xfId="0" applyFont="1" applyFill="1" applyBorder="1" applyAlignment="1"/>
    <xf numFmtId="165" fontId="46" fillId="42" borderId="153" xfId="26" applyFont="1" applyFill="1" applyBorder="1" applyAlignment="1"/>
    <xf numFmtId="165" fontId="46" fillId="42" borderId="154" xfId="26" applyFont="1" applyFill="1" applyBorder="1" applyAlignment="1"/>
    <xf numFmtId="0" fontId="0" fillId="46" borderId="155" xfId="0" applyFont="1" applyFill="1" applyBorder="1" applyAlignment="1"/>
    <xf numFmtId="165" fontId="0" fillId="46" borderId="156" xfId="26" applyFont="1" applyFill="1" applyBorder="1" applyAlignment="1"/>
    <xf numFmtId="165" fontId="0" fillId="46" borderId="149" xfId="26" applyFont="1" applyFill="1" applyBorder="1" applyAlignment="1"/>
    <xf numFmtId="165" fontId="0" fillId="46" borderId="155" xfId="26" applyFont="1" applyFill="1" applyBorder="1" applyAlignment="1"/>
    <xf numFmtId="0" fontId="40" fillId="41" borderId="155" xfId="0" applyFont="1" applyFill="1" applyBorder="1" applyAlignment="1">
      <alignment vertical="center"/>
    </xf>
    <xf numFmtId="165" fontId="40" fillId="41" borderId="156" xfId="26" applyFont="1" applyFill="1" applyBorder="1" applyAlignment="1">
      <alignment vertical="center"/>
    </xf>
    <xf numFmtId="165" fontId="40" fillId="41" borderId="164" xfId="26" applyFont="1" applyFill="1" applyBorder="1" applyAlignment="1">
      <alignment vertical="center"/>
    </xf>
    <xf numFmtId="165" fontId="40" fillId="41" borderId="126" xfId="26" applyFont="1" applyFill="1" applyBorder="1" applyAlignment="1">
      <alignment vertical="center"/>
    </xf>
    <xf numFmtId="0" fontId="45" fillId="0" borderId="0" xfId="0" applyFont="1" applyBorder="1" applyAlignment="1"/>
    <xf numFmtId="165" fontId="45" fillId="0" borderId="0" xfId="26" applyFont="1" applyBorder="1" applyAlignment="1"/>
    <xf numFmtId="0" fontId="39" fillId="40" borderId="156" xfId="0" applyFont="1" applyFill="1" applyBorder="1" applyAlignment="1">
      <alignment horizontal="center"/>
    </xf>
    <xf numFmtId="44" fontId="0" fillId="40" borderId="156" xfId="0" applyNumberFormat="1" applyFont="1" applyFill="1" applyBorder="1" applyAlignment="1"/>
    <xf numFmtId="165" fontId="0" fillId="40" borderId="156" xfId="0" applyNumberFormat="1" applyFont="1" applyFill="1" applyBorder="1" applyAlignment="1"/>
    <xf numFmtId="0" fontId="39" fillId="40" borderId="149" xfId="0" applyFont="1" applyFill="1" applyBorder="1" applyAlignment="1">
      <alignment horizontal="center"/>
    </xf>
    <xf numFmtId="0" fontId="0" fillId="32" borderId="101" xfId="0" applyFont="1" applyFill="1" applyBorder="1" applyAlignment="1"/>
    <xf numFmtId="165" fontId="0" fillId="40" borderId="149" xfId="0" applyNumberFormat="1" applyFont="1" applyFill="1" applyBorder="1" applyAlignment="1"/>
    <xf numFmtId="44" fontId="0" fillId="0" borderId="101" xfId="0" applyNumberFormat="1" applyFont="1" applyBorder="1" applyAlignment="1"/>
    <xf numFmtId="44" fontId="0" fillId="40" borderId="149" xfId="0" applyNumberFormat="1" applyFont="1" applyFill="1" applyBorder="1" applyAlignment="1"/>
    <xf numFmtId="44" fontId="40" fillId="41" borderId="156" xfId="0" applyNumberFormat="1" applyFont="1" applyFill="1" applyBorder="1" applyAlignment="1"/>
    <xf numFmtId="44" fontId="40" fillId="41" borderId="149" xfId="0" applyNumberFormat="1" applyFont="1" applyFill="1" applyBorder="1" applyAlignment="1"/>
    <xf numFmtId="44" fontId="0" fillId="34" borderId="97" xfId="0" applyNumberFormat="1" applyFont="1" applyFill="1" applyBorder="1" applyAlignment="1"/>
    <xf numFmtId="44" fontId="0" fillId="34" borderId="89" xfId="0" applyNumberFormat="1" applyFont="1" applyFill="1" applyBorder="1" applyAlignment="1"/>
    <xf numFmtId="44" fontId="0" fillId="34" borderId="79" xfId="0" applyNumberFormat="1" applyFont="1" applyFill="1" applyBorder="1" applyAlignment="1"/>
    <xf numFmtId="44" fontId="0" fillId="34" borderId="91" xfId="0" applyNumberFormat="1" applyFont="1" applyFill="1" applyBorder="1" applyAlignment="1"/>
    <xf numFmtId="44" fontId="0" fillId="34" borderId="110" xfId="0" applyNumberFormat="1" applyFont="1" applyFill="1" applyBorder="1" applyAlignment="1"/>
    <xf numFmtId="44" fontId="0" fillId="34" borderId="93" xfId="0" applyNumberFormat="1" applyFont="1" applyFill="1" applyBorder="1" applyAlignment="1"/>
    <xf numFmtId="0" fontId="39" fillId="40" borderId="178" xfId="0" applyFont="1" applyFill="1" applyBorder="1" applyAlignment="1">
      <alignment horizontal="center"/>
    </xf>
    <xf numFmtId="0" fontId="0" fillId="32" borderId="112" xfId="0" applyFont="1" applyFill="1" applyBorder="1" applyAlignment="1"/>
    <xf numFmtId="165" fontId="0" fillId="0" borderId="112" xfId="26" applyFont="1" applyBorder="1" applyAlignment="1"/>
    <xf numFmtId="165" fontId="0" fillId="40" borderId="178" xfId="0" applyNumberFormat="1" applyFont="1" applyFill="1" applyBorder="1" applyAlignment="1"/>
    <xf numFmtId="44" fontId="0" fillId="0" borderId="112" xfId="0" applyNumberFormat="1" applyFont="1" applyBorder="1" applyAlignment="1"/>
    <xf numFmtId="44" fontId="0" fillId="40" borderId="178" xfId="0" applyNumberFormat="1" applyFont="1" applyFill="1" applyBorder="1" applyAlignment="1"/>
    <xf numFmtId="44" fontId="40" fillId="41" borderId="178" xfId="0" applyNumberFormat="1" applyFont="1" applyFill="1" applyBorder="1" applyAlignment="1"/>
    <xf numFmtId="0" fontId="39" fillId="0" borderId="122" xfId="0" applyFont="1" applyBorder="1" applyAlignment="1"/>
    <xf numFmtId="44" fontId="0" fillId="34" borderId="176" xfId="0" applyNumberFormat="1" applyFont="1" applyFill="1" applyBorder="1" applyAlignment="1"/>
    <xf numFmtId="44" fontId="0" fillId="34" borderId="108" xfId="0" applyNumberFormat="1" applyFont="1" applyFill="1" applyBorder="1" applyAlignment="1"/>
    <xf numFmtId="44" fontId="0" fillId="34" borderId="177" xfId="0" applyNumberFormat="1" applyFont="1" applyFill="1" applyBorder="1" applyAlignment="1"/>
    <xf numFmtId="44" fontId="39" fillId="0" borderId="97" xfId="0" applyNumberFormat="1" applyFont="1" applyBorder="1" applyAlignment="1"/>
    <xf numFmtId="44" fontId="39" fillId="0" borderId="89" xfId="0" applyNumberFormat="1" applyFont="1" applyBorder="1" applyAlignment="1"/>
    <xf numFmtId="165" fontId="0" fillId="0" borderId="93" xfId="26" applyFont="1" applyBorder="1" applyAlignment="1"/>
    <xf numFmtId="0" fontId="39" fillId="0" borderId="0" xfId="0" applyFont="1" applyFill="1" applyAlignment="1">
      <alignment horizontal="center"/>
    </xf>
    <xf numFmtId="0" fontId="0" fillId="17" borderId="165" xfId="0" applyFont="1" applyFill="1" applyBorder="1" applyAlignment="1"/>
    <xf numFmtId="165" fontId="0" fillId="17" borderId="141" xfId="26" applyFont="1" applyFill="1" applyBorder="1" applyAlignment="1"/>
    <xf numFmtId="9" fontId="40" fillId="17" borderId="96" xfId="0" applyNumberFormat="1" applyFont="1" applyFill="1" applyBorder="1" applyAlignment="1"/>
    <xf numFmtId="0" fontId="39" fillId="17" borderId="124" xfId="0" applyFont="1" applyFill="1" applyBorder="1" applyAlignment="1"/>
    <xf numFmtId="165" fontId="0" fillId="0" borderId="141" xfId="26" applyFont="1" applyBorder="1" applyAlignment="1"/>
    <xf numFmtId="0" fontId="0" fillId="0" borderId="128" xfId="0" applyFont="1" applyBorder="1" applyAlignment="1"/>
    <xf numFmtId="0" fontId="28" fillId="24" borderId="118" xfId="0" applyFont="1" applyFill="1" applyBorder="1"/>
    <xf numFmtId="0" fontId="55" fillId="40" borderId="79" xfId="0" applyFont="1" applyFill="1" applyBorder="1"/>
    <xf numFmtId="165" fontId="28" fillId="40" borderId="79" xfId="26" applyFont="1" applyFill="1" applyBorder="1"/>
    <xf numFmtId="0" fontId="55" fillId="44" borderId="79" xfId="0" applyFont="1" applyFill="1" applyBorder="1"/>
    <xf numFmtId="165" fontId="54" fillId="44" borderId="79" xfId="26" applyFont="1" applyFill="1" applyBorder="1"/>
    <xf numFmtId="165" fontId="28" fillId="44" borderId="79" xfId="26" applyFont="1" applyFill="1" applyBorder="1"/>
    <xf numFmtId="0" fontId="1" fillId="0" borderId="79" xfId="0" applyFont="1" applyBorder="1"/>
    <xf numFmtId="165" fontId="1" fillId="0" borderId="79" xfId="26" applyFont="1" applyBorder="1"/>
    <xf numFmtId="179" fontId="1" fillId="0" borderId="79" xfId="26" applyNumberFormat="1" applyFont="1" applyBorder="1"/>
    <xf numFmtId="179" fontId="1" fillId="0" borderId="79" xfId="0" applyNumberFormat="1" applyFont="1" applyBorder="1"/>
    <xf numFmtId="0" fontId="1" fillId="30" borderId="111" xfId="0" applyFont="1" applyFill="1" applyBorder="1" applyAlignment="1"/>
    <xf numFmtId="165" fontId="1" fillId="30" borderId="0" xfId="26" applyFont="1" applyFill="1" applyBorder="1"/>
    <xf numFmtId="165" fontId="1" fillId="30" borderId="122" xfId="26" applyFont="1" applyFill="1" applyBorder="1"/>
    <xf numFmtId="0" fontId="1" fillId="30" borderId="119" xfId="0" applyFont="1" applyFill="1" applyBorder="1" applyAlignment="1"/>
    <xf numFmtId="165" fontId="1" fillId="30" borderId="121" xfId="26" applyFont="1" applyFill="1" applyBorder="1"/>
    <xf numFmtId="165" fontId="1" fillId="30" borderId="120" xfId="26" applyFont="1" applyFill="1" applyBorder="1"/>
    <xf numFmtId="0" fontId="1" fillId="24" borderId="124" xfId="0" applyFont="1" applyFill="1" applyBorder="1" applyAlignment="1">
      <alignment horizontal="center"/>
    </xf>
    <xf numFmtId="0" fontId="1" fillId="24" borderId="105" xfId="0" applyFont="1" applyFill="1" applyBorder="1" applyAlignment="1">
      <alignment horizontal="center"/>
    </xf>
    <xf numFmtId="0" fontId="1" fillId="24" borderId="96" xfId="0" applyFont="1" applyFill="1" applyBorder="1" applyAlignment="1">
      <alignment horizontal="center"/>
    </xf>
    <xf numFmtId="0" fontId="1" fillId="37" borderId="132" xfId="0" applyFont="1" applyFill="1" applyBorder="1" applyAlignment="1">
      <alignment horizontal="left"/>
    </xf>
    <xf numFmtId="0" fontId="1" fillId="30" borderId="98" xfId="0" applyFont="1" applyFill="1" applyBorder="1" applyAlignment="1"/>
    <xf numFmtId="8" fontId="1" fillId="30" borderId="95" xfId="0" applyNumberFormat="1" applyFont="1" applyFill="1" applyBorder="1" applyAlignment="1"/>
    <xf numFmtId="10" fontId="1" fillId="30" borderId="95" xfId="0" applyNumberFormat="1" applyFont="1" applyFill="1" applyBorder="1" applyAlignment="1"/>
    <xf numFmtId="0" fontId="1" fillId="30" borderId="102" xfId="0" applyFont="1" applyFill="1" applyBorder="1" applyAlignment="1">
      <alignment horizontal="center"/>
    </xf>
    <xf numFmtId="9" fontId="28" fillId="37" borderId="133" xfId="0" applyNumberFormat="1" applyFont="1" applyFill="1" applyBorder="1" applyAlignment="1">
      <alignment horizontal="center"/>
    </xf>
    <xf numFmtId="2" fontId="1" fillId="30" borderId="91" xfId="0" applyNumberFormat="1" applyFont="1" applyFill="1" applyBorder="1"/>
    <xf numFmtId="0" fontId="1" fillId="30" borderId="92" xfId="0" applyFont="1" applyFill="1" applyBorder="1" applyAlignment="1"/>
    <xf numFmtId="8" fontId="1" fillId="30" borderId="110" xfId="0" applyNumberFormat="1" applyFont="1" applyFill="1" applyBorder="1" applyAlignment="1"/>
    <xf numFmtId="10" fontId="1" fillId="30" borderId="110" xfId="0" applyNumberFormat="1" applyFont="1" applyFill="1" applyBorder="1" applyAlignment="1"/>
    <xf numFmtId="0" fontId="1" fillId="30" borderId="93" xfId="0" applyFont="1" applyFill="1" applyBorder="1" applyAlignment="1">
      <alignment horizontal="center"/>
    </xf>
    <xf numFmtId="10" fontId="1" fillId="30" borderId="93" xfId="0" applyNumberFormat="1" applyFont="1" applyFill="1" applyBorder="1"/>
    <xf numFmtId="8" fontId="1" fillId="0" borderId="79" xfId="0" applyNumberFormat="1" applyFont="1" applyBorder="1" applyAlignment="1"/>
    <xf numFmtId="9" fontId="1" fillId="0" borderId="90" xfId="0" applyNumberFormat="1" applyFont="1" applyBorder="1" applyAlignment="1">
      <alignment horizontal="center"/>
    </xf>
    <xf numFmtId="8" fontId="1" fillId="0" borderId="91" xfId="0" applyNumberFormat="1" applyFont="1" applyBorder="1" applyAlignment="1"/>
    <xf numFmtId="9" fontId="1" fillId="0" borderId="92" xfId="0" applyNumberFormat="1" applyFont="1" applyBorder="1" applyAlignment="1">
      <alignment horizontal="center"/>
    </xf>
    <xf numFmtId="8" fontId="1" fillId="0" borderId="110" xfId="0" applyNumberFormat="1" applyFont="1" applyBorder="1" applyAlignment="1"/>
    <xf numFmtId="8" fontId="1" fillId="0" borderId="93" xfId="0" applyNumberFormat="1" applyFont="1" applyBorder="1" applyAlignment="1"/>
    <xf numFmtId="180" fontId="1" fillId="0" borderId="79" xfId="0" applyNumberFormat="1" applyFont="1" applyBorder="1"/>
    <xf numFmtId="0" fontId="1" fillId="0" borderId="79" xfId="0" applyFont="1" applyFill="1" applyBorder="1" applyAlignment="1"/>
    <xf numFmtId="165" fontId="1" fillId="0" borderId="79" xfId="26" applyFont="1" applyBorder="1" applyAlignment="1"/>
    <xf numFmtId="44" fontId="1" fillId="0" borderId="79" xfId="0" applyNumberFormat="1" applyFont="1" applyBorder="1" applyAlignment="1"/>
    <xf numFmtId="0" fontId="1" fillId="0" borderId="79" xfId="0" applyFont="1" applyBorder="1" applyAlignment="1"/>
    <xf numFmtId="0" fontId="28" fillId="48" borderId="79" xfId="0" applyFont="1" applyFill="1" applyBorder="1"/>
    <xf numFmtId="180" fontId="28" fillId="48" borderId="79" xfId="0" applyNumberFormat="1" applyFont="1" applyFill="1" applyBorder="1"/>
    <xf numFmtId="0" fontId="1" fillId="43" borderId="90" xfId="0" applyFont="1" applyFill="1" applyBorder="1" applyAlignment="1">
      <alignment horizontal="center"/>
    </xf>
    <xf numFmtId="181" fontId="1" fillId="0" borderId="79" xfId="0" applyNumberFormat="1" applyFont="1" applyBorder="1"/>
    <xf numFmtId="181" fontId="1" fillId="0" borderId="91" xfId="0" applyNumberFormat="1" applyFont="1" applyBorder="1"/>
    <xf numFmtId="0" fontId="1" fillId="28" borderId="90" xfId="0" applyFont="1" applyFill="1" applyBorder="1" applyAlignment="1">
      <alignment horizontal="center"/>
    </xf>
    <xf numFmtId="0" fontId="1" fillId="28" borderId="79" xfId="0" applyFont="1" applyFill="1" applyBorder="1" applyAlignment="1">
      <alignment horizontal="center"/>
    </xf>
    <xf numFmtId="0" fontId="1" fillId="28" borderId="91" xfId="0" applyFont="1" applyFill="1" applyBorder="1" applyAlignment="1">
      <alignment horizontal="center"/>
    </xf>
    <xf numFmtId="181" fontId="28" fillId="43" borderId="91" xfId="0" applyNumberFormat="1" applyFont="1" applyFill="1" applyBorder="1"/>
    <xf numFmtId="0" fontId="1" fillId="28" borderId="79" xfId="0" applyFont="1" applyFill="1" applyBorder="1"/>
    <xf numFmtId="9" fontId="1" fillId="0" borderId="79" xfId="0" applyNumberFormat="1" applyFont="1" applyBorder="1"/>
    <xf numFmtId="0" fontId="1" fillId="28" borderId="79" xfId="0" applyFont="1" applyFill="1" applyBorder="1" applyAlignment="1">
      <alignment horizontal="left"/>
    </xf>
    <xf numFmtId="10" fontId="1" fillId="0" borderId="79" xfId="1" applyNumberFormat="1" applyFont="1" applyBorder="1"/>
    <xf numFmtId="0" fontId="1" fillId="28" borderId="124" xfId="0" applyFont="1" applyFill="1" applyBorder="1" applyAlignment="1">
      <alignment horizontal="center" vertical="center" wrapText="1"/>
    </xf>
    <xf numFmtId="0" fontId="1" fillId="28" borderId="105" xfId="0" applyFont="1" applyFill="1" applyBorder="1" applyAlignment="1">
      <alignment horizontal="center" vertical="center" wrapText="1"/>
    </xf>
    <xf numFmtId="0" fontId="1" fillId="28" borderId="96" xfId="0" applyFont="1" applyFill="1" applyBorder="1" applyAlignment="1">
      <alignment horizontal="center" vertical="center" wrapText="1"/>
    </xf>
    <xf numFmtId="0" fontId="1" fillId="0" borderId="89" xfId="0" applyFont="1" applyBorder="1" applyAlignment="1">
      <alignment horizontal="center" vertical="center"/>
    </xf>
    <xf numFmtId="0" fontId="1" fillId="0" borderId="98" xfId="0" applyFont="1" applyBorder="1" applyAlignment="1"/>
    <xf numFmtId="44" fontId="1" fillId="0" borderId="95" xfId="0" applyNumberFormat="1" applyFont="1" applyBorder="1" applyAlignment="1"/>
    <xf numFmtId="178" fontId="1" fillId="0" borderId="95" xfId="1" applyNumberFormat="1" applyFont="1" applyBorder="1" applyAlignment="1"/>
    <xf numFmtId="172" fontId="1" fillId="0" borderId="95" xfId="25" applyNumberFormat="1" applyFont="1" applyBorder="1" applyAlignment="1"/>
    <xf numFmtId="44" fontId="1" fillId="0" borderId="102" xfId="0" applyNumberFormat="1" applyFont="1" applyBorder="1" applyAlignment="1"/>
    <xf numFmtId="0" fontId="1" fillId="0" borderId="90" xfId="0" applyFont="1" applyBorder="1" applyAlignment="1"/>
    <xf numFmtId="178" fontId="1" fillId="0" borderId="79" xfId="1" applyNumberFormat="1" applyFont="1" applyBorder="1" applyAlignment="1"/>
    <xf numFmtId="44" fontId="1" fillId="0" borderId="91" xfId="0" applyNumberFormat="1" applyFont="1" applyBorder="1" applyAlignment="1"/>
    <xf numFmtId="0" fontId="1" fillId="0" borderId="92" xfId="0" applyFont="1" applyBorder="1" applyAlignment="1"/>
    <xf numFmtId="44" fontId="1" fillId="0" borderId="110" xfId="0" applyNumberFormat="1" applyFont="1" applyBorder="1" applyAlignment="1"/>
    <xf numFmtId="178" fontId="1" fillId="0" borderId="110" xfId="1" applyNumberFormat="1" applyFont="1" applyBorder="1" applyAlignment="1"/>
    <xf numFmtId="172" fontId="1" fillId="0" borderId="156" xfId="25" applyNumberFormat="1" applyFont="1" applyBorder="1" applyAlignment="1"/>
    <xf numFmtId="44" fontId="1" fillId="0" borderId="93" xfId="0" applyNumberFormat="1" applyFont="1" applyBorder="1" applyAlignment="1"/>
    <xf numFmtId="178" fontId="28" fillId="28" borderId="133" xfId="1" applyNumberFormat="1" applyFont="1" applyFill="1" applyBorder="1" applyAlignment="1"/>
    <xf numFmtId="44" fontId="28" fillId="28" borderId="133" xfId="0" applyNumberFormat="1" applyFont="1" applyFill="1" applyBorder="1" applyAlignment="1"/>
    <xf numFmtId="0" fontId="60" fillId="0" borderId="0" xfId="0" applyFont="1" applyAlignment="1"/>
    <xf numFmtId="0" fontId="48" fillId="0" borderId="0" xfId="0" applyFont="1" applyAlignment="1"/>
    <xf numFmtId="0" fontId="56" fillId="0" borderId="0" xfId="0" applyFont="1" applyFill="1" applyAlignment="1">
      <alignment vertical="center"/>
    </xf>
    <xf numFmtId="0" fontId="1" fillId="17" borderId="145" xfId="0" applyFont="1" applyFill="1" applyBorder="1" applyAlignment="1">
      <alignment horizontal="center"/>
    </xf>
    <xf numFmtId="0" fontId="59" fillId="17" borderId="78" xfId="0" applyFont="1" applyFill="1" applyBorder="1" applyAlignment="1">
      <alignment horizontal="center"/>
    </xf>
    <xf numFmtId="0" fontId="59" fillId="17" borderId="100" xfId="0" applyFont="1" applyFill="1" applyBorder="1" applyAlignment="1">
      <alignment horizontal="center"/>
    </xf>
    <xf numFmtId="9" fontId="1" fillId="0" borderId="88" xfId="0" applyNumberFormat="1" applyFont="1" applyBorder="1" applyAlignment="1">
      <alignment horizontal="center"/>
    </xf>
    <xf numFmtId="8" fontId="1" fillId="0" borderId="97" xfId="0" applyNumberFormat="1" applyFont="1" applyBorder="1" applyAlignment="1"/>
    <xf numFmtId="8" fontId="1" fillId="0" borderId="89" xfId="0" applyNumberFormat="1" applyFont="1" applyBorder="1" applyAlignment="1"/>
    <xf numFmtId="0" fontId="9" fillId="10" borderId="35" xfId="0" applyFont="1" applyFill="1" applyBorder="1" applyAlignment="1">
      <alignment horizontal="left"/>
    </xf>
    <xf numFmtId="0" fontId="7" fillId="0" borderId="48" xfId="0" applyFont="1" applyBorder="1"/>
    <xf numFmtId="0" fontId="7" fillId="0" borderId="37" xfId="0" applyFont="1" applyBorder="1"/>
    <xf numFmtId="0" fontId="5" fillId="3" borderId="2" xfId="0" applyFont="1" applyFill="1" applyBorder="1" applyAlignment="1">
      <alignment horizontal="center"/>
    </xf>
    <xf numFmtId="0" fontId="7" fillId="0" borderId="11" xfId="0" applyFont="1" applyBorder="1"/>
    <xf numFmtId="0" fontId="7" fillId="0" borderId="3" xfId="0" applyFont="1" applyBorder="1"/>
    <xf numFmtId="0" fontId="9" fillId="10" borderId="2" xfId="0" applyFont="1" applyFill="1" applyBorder="1" applyAlignment="1">
      <alignment horizontal="left"/>
    </xf>
    <xf numFmtId="0" fontId="7" fillId="0" borderId="94" xfId="0" applyFont="1" applyBorder="1"/>
    <xf numFmtId="0" fontId="7" fillId="0" borderId="28" xfId="0" applyFont="1" applyBorder="1"/>
    <xf numFmtId="0" fontId="9" fillId="10" borderId="26" xfId="0" applyFont="1" applyFill="1" applyBorder="1" applyAlignment="1">
      <alignment horizontal="left"/>
    </xf>
    <xf numFmtId="0" fontId="9" fillId="14" borderId="2" xfId="0" applyFont="1" applyFill="1" applyBorder="1" applyAlignment="1">
      <alignment horizontal="left"/>
    </xf>
    <xf numFmtId="0" fontId="9" fillId="4" borderId="2" xfId="0" applyFont="1" applyFill="1" applyBorder="1" applyAlignment="1">
      <alignment horizontal="center"/>
    </xf>
    <xf numFmtId="0" fontId="9" fillId="9" borderId="15" xfId="0" applyFont="1" applyFill="1" applyBorder="1" applyAlignment="1">
      <alignment horizontal="center"/>
    </xf>
    <xf numFmtId="0" fontId="7" fillId="0" borderId="16" xfId="0" applyFont="1" applyBorder="1"/>
    <xf numFmtId="0" fontId="9" fillId="9" borderId="17" xfId="0" applyFont="1" applyFill="1" applyBorder="1" applyAlignment="1">
      <alignment horizontal="center"/>
    </xf>
    <xf numFmtId="0" fontId="7" fillId="0" borderId="18" xfId="0" applyFont="1" applyBorder="1"/>
    <xf numFmtId="0" fontId="6" fillId="4" borderId="4" xfId="0" applyFont="1" applyFill="1" applyBorder="1" applyAlignment="1">
      <alignment horizontal="center" vertical="center"/>
    </xf>
    <xf numFmtId="0" fontId="7" fillId="0" borderId="6" xfId="0" applyFont="1" applyBorder="1"/>
    <xf numFmtId="0" fontId="7" fillId="0" borderId="7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12" xfId="0" applyFont="1" applyBorder="1"/>
    <xf numFmtId="0" fontId="9" fillId="4" borderId="47" xfId="0" applyFont="1" applyFill="1" applyBorder="1" applyAlignment="1">
      <alignment horizontal="center"/>
    </xf>
    <xf numFmtId="0" fontId="7" fillId="0" borderId="49" xfId="0" applyFont="1" applyBorder="1"/>
    <xf numFmtId="0" fontId="10" fillId="4" borderId="15" xfId="0" applyFont="1" applyFill="1" applyBorder="1" applyAlignment="1">
      <alignment horizontal="center"/>
    </xf>
    <xf numFmtId="0" fontId="7" fillId="0" borderId="46" xfId="0" applyFont="1" applyBorder="1"/>
    <xf numFmtId="0" fontId="8" fillId="6" borderId="13" xfId="0" applyFont="1" applyFill="1" applyBorder="1" applyAlignment="1">
      <alignment horizontal="center" vertical="center"/>
    </xf>
    <xf numFmtId="0" fontId="7" fillId="0" borderId="19" xfId="0" applyFont="1" applyBorder="1"/>
    <xf numFmtId="0" fontId="8" fillId="6" borderId="14" xfId="0" applyFont="1" applyFill="1" applyBorder="1" applyAlignment="1">
      <alignment horizontal="center" vertical="center"/>
    </xf>
    <xf numFmtId="0" fontId="7" fillId="0" borderId="20" xfId="0" applyFont="1" applyBorder="1"/>
    <xf numFmtId="0" fontId="10" fillId="4" borderId="70" xfId="0" applyFont="1" applyFill="1" applyBorder="1" applyAlignment="1">
      <alignment horizontal="center"/>
    </xf>
    <xf numFmtId="0" fontId="7" fillId="0" borderId="71" xfId="0" applyFont="1" applyBorder="1"/>
    <xf numFmtId="0" fontId="7" fillId="0" borderId="72" xfId="0" applyFont="1" applyBorder="1"/>
    <xf numFmtId="0" fontId="9" fillId="4" borderId="15" xfId="0" applyFont="1" applyFill="1" applyBorder="1" applyAlignment="1">
      <alignment horizontal="center"/>
    </xf>
    <xf numFmtId="0" fontId="11" fillId="0" borderId="34" xfId="0" applyFont="1" applyBorder="1" applyAlignment="1">
      <alignment horizontal="center" vertical="center" textRotation="90"/>
    </xf>
    <xf numFmtId="0" fontId="7" fillId="0" borderId="38" xfId="0" applyFont="1" applyBorder="1"/>
    <xf numFmtId="0" fontId="7" fillId="0" borderId="5" xfId="0" applyFont="1" applyBorder="1"/>
    <xf numFmtId="0" fontId="11" fillId="17" borderId="34" xfId="0" applyFont="1" applyFill="1" applyBorder="1" applyAlignment="1">
      <alignment horizontal="center" vertical="center" textRotation="90"/>
    </xf>
    <xf numFmtId="0" fontId="7" fillId="17" borderId="38" xfId="0" applyFont="1" applyFill="1" applyBorder="1"/>
    <xf numFmtId="0" fontId="7" fillId="17" borderId="5" xfId="0" applyFont="1" applyFill="1" applyBorder="1"/>
    <xf numFmtId="0" fontId="23" fillId="0" borderId="82" xfId="10" applyFont="1" applyBorder="1" applyAlignment="1">
      <alignment horizontal="center" vertical="center"/>
    </xf>
    <xf numFmtId="0" fontId="23" fillId="0" borderId="0" xfId="10" applyFont="1" applyBorder="1" applyAlignment="1">
      <alignment horizontal="center" vertical="center"/>
    </xf>
    <xf numFmtId="0" fontId="26" fillId="0" borderId="0" xfId="18">
      <alignment vertical="center"/>
    </xf>
    <xf numFmtId="0" fontId="23" fillId="0" borderId="82" xfId="10" applyFont="1" applyBorder="1">
      <alignment horizontal="left" vertical="center"/>
    </xf>
    <xf numFmtId="0" fontId="23" fillId="0" borderId="0" xfId="10" applyFont="1" applyBorder="1">
      <alignment horizontal="left" vertical="center"/>
    </xf>
    <xf numFmtId="0" fontId="23" fillId="0" borderId="84" xfId="10" applyFont="1" applyBorder="1">
      <alignment horizontal="left" vertical="center"/>
    </xf>
    <xf numFmtId="0" fontId="22" fillId="0" borderId="0" xfId="7">
      <alignment vertical="center"/>
    </xf>
    <xf numFmtId="0" fontId="22" fillId="0" borderId="87" xfId="7" applyBorder="1">
      <alignment vertical="center"/>
    </xf>
    <xf numFmtId="0" fontId="22" fillId="0" borderId="0" xfId="6">
      <alignment horizontal="center" vertical="center" wrapText="1"/>
    </xf>
    <xf numFmtId="0" fontId="22" fillId="0" borderId="87" xfId="6" applyBorder="1">
      <alignment horizontal="center" vertical="center" wrapText="1"/>
    </xf>
    <xf numFmtId="0" fontId="22" fillId="0" borderId="81" xfId="6" applyBorder="1">
      <alignment horizontal="center" vertical="center" wrapText="1"/>
    </xf>
    <xf numFmtId="0" fontId="23" fillId="0" borderId="84" xfId="10" applyFont="1" applyBorder="1" applyAlignment="1">
      <alignment horizontal="center" vertical="center"/>
    </xf>
    <xf numFmtId="0" fontId="56" fillId="31" borderId="0" xfId="21" applyFont="1" applyFill="1" applyBorder="1" applyAlignment="1">
      <alignment horizontal="center" vertical="center"/>
    </xf>
    <xf numFmtId="0" fontId="56" fillId="33" borderId="135" xfId="21" applyFont="1" applyFill="1" applyBorder="1" applyAlignment="1">
      <alignment horizontal="center" vertical="center"/>
    </xf>
    <xf numFmtId="0" fontId="56" fillId="33" borderId="140" xfId="21" applyFont="1" applyFill="1" applyBorder="1" applyAlignment="1">
      <alignment horizontal="center" vertical="center"/>
    </xf>
    <xf numFmtId="0" fontId="28" fillId="45" borderId="88" xfId="0" applyFont="1" applyFill="1" applyBorder="1" applyAlignment="1">
      <alignment horizontal="center"/>
    </xf>
    <xf numFmtId="0" fontId="28" fillId="45" borderId="89" xfId="0" applyFont="1" applyFill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30" fillId="0" borderId="89" xfId="22" applyFont="1" applyBorder="1" applyAlignment="1">
      <alignment horizontal="center" vertical="center"/>
    </xf>
    <xf numFmtId="0" fontId="30" fillId="0" borderId="91" xfId="22" applyFont="1" applyBorder="1" applyAlignment="1">
      <alignment horizontal="center" vertical="center"/>
    </xf>
    <xf numFmtId="0" fontId="30" fillId="0" borderId="100" xfId="22" applyFont="1" applyBorder="1" applyAlignment="1">
      <alignment horizontal="center" vertical="center"/>
    </xf>
    <xf numFmtId="0" fontId="30" fillId="0" borderId="117" xfId="22" applyFont="1" applyBorder="1" applyAlignment="1">
      <alignment horizontal="center"/>
    </xf>
    <xf numFmtId="0" fontId="30" fillId="0" borderId="116" xfId="22" applyFont="1" applyBorder="1" applyAlignment="1">
      <alignment horizontal="center"/>
    </xf>
    <xf numFmtId="0" fontId="30" fillId="0" borderId="123" xfId="22" applyFont="1" applyBorder="1" applyAlignment="1">
      <alignment horizontal="center"/>
    </xf>
    <xf numFmtId="0" fontId="30" fillId="0" borderId="111" xfId="22" applyFont="1" applyBorder="1" applyAlignment="1">
      <alignment horizontal="center"/>
    </xf>
    <xf numFmtId="0" fontId="30" fillId="0" borderId="0" xfId="22" applyFont="1" applyBorder="1" applyAlignment="1">
      <alignment horizontal="center"/>
    </xf>
    <xf numFmtId="0" fontId="30" fillId="0" borderId="112" xfId="22" applyFont="1" applyBorder="1" applyAlignment="1">
      <alignment horizontal="center"/>
    </xf>
    <xf numFmtId="0" fontId="30" fillId="0" borderId="97" xfId="22" applyFont="1" applyBorder="1" applyAlignment="1">
      <alignment horizontal="center" vertical="center"/>
    </xf>
    <xf numFmtId="0" fontId="30" fillId="0" borderId="79" xfId="22" applyFont="1" applyBorder="1" applyAlignment="1">
      <alignment horizontal="center" vertical="center"/>
    </xf>
    <xf numFmtId="0" fontId="30" fillId="0" borderId="78" xfId="22" applyFont="1" applyBorder="1" applyAlignment="1">
      <alignment horizontal="center" vertical="center"/>
    </xf>
    <xf numFmtId="0" fontId="31" fillId="26" borderId="124" xfId="22" applyFont="1" applyFill="1" applyBorder="1" applyAlignment="1">
      <alignment horizontal="center" vertical="center"/>
    </xf>
    <xf numFmtId="0" fontId="31" fillId="26" borderId="115" xfId="22" applyFont="1" applyFill="1" applyBorder="1" applyAlignment="1">
      <alignment horizontal="center" vertical="center"/>
    </xf>
    <xf numFmtId="0" fontId="30" fillId="0" borderId="95" xfId="22" applyFont="1" applyBorder="1" applyAlignment="1">
      <alignment horizontal="center"/>
    </xf>
    <xf numFmtId="0" fontId="30" fillId="0" borderId="102" xfId="22" applyFont="1" applyBorder="1" applyAlignment="1">
      <alignment horizontal="center"/>
    </xf>
    <xf numFmtId="0" fontId="30" fillId="0" borderId="79" xfId="22" applyFont="1" applyBorder="1" applyAlignment="1">
      <alignment vertical="center" wrapText="1"/>
    </xf>
    <xf numFmtId="0" fontId="38" fillId="0" borderId="79" xfId="22" applyFont="1" applyBorder="1" applyAlignment="1">
      <alignment vertical="center" wrapText="1"/>
    </xf>
    <xf numFmtId="0" fontId="30" fillId="0" borderId="79" xfId="22" applyFont="1" applyBorder="1" applyAlignment="1">
      <alignment horizontal="center"/>
    </xf>
    <xf numFmtId="0" fontId="30" fillId="0" borderId="78" xfId="22" applyFont="1" applyBorder="1" applyAlignment="1">
      <alignment horizontal="left" indent="1"/>
    </xf>
    <xf numFmtId="1" fontId="30" fillId="0" borderId="78" xfId="22" applyNumberFormat="1" applyFont="1" applyBorder="1" applyAlignment="1">
      <alignment horizontal="center"/>
    </xf>
    <xf numFmtId="2" fontId="30" fillId="0" borderId="78" xfId="22" applyNumberFormat="1" applyFont="1" applyBorder="1"/>
    <xf numFmtId="0" fontId="30" fillId="0" borderId="99" xfId="22" applyFont="1" applyBorder="1" applyAlignment="1">
      <alignment horizontal="left" indent="1"/>
    </xf>
    <xf numFmtId="1" fontId="30" fillId="0" borderId="99" xfId="22" applyNumberFormat="1" applyFont="1" applyBorder="1" applyAlignment="1">
      <alignment horizontal="center"/>
    </xf>
    <xf numFmtId="2" fontId="30" fillId="0" borderId="99" xfId="22" applyNumberFormat="1" applyFont="1" applyBorder="1"/>
    <xf numFmtId="0" fontId="30" fillId="0" borderId="103" xfId="22" applyFont="1" applyBorder="1" applyAlignment="1">
      <alignment horizontal="center" vertical="center"/>
    </xf>
    <xf numFmtId="0" fontId="30" fillId="0" borderId="125" xfId="22" applyFont="1" applyBorder="1" applyAlignment="1">
      <alignment horizontal="center" vertical="center"/>
    </xf>
    <xf numFmtId="0" fontId="30" fillId="0" borderId="104" xfId="22" applyFont="1" applyBorder="1" applyAlignment="1">
      <alignment horizontal="center" vertical="center"/>
    </xf>
    <xf numFmtId="0" fontId="30" fillId="0" borderId="79" xfId="22" applyFont="1" applyBorder="1" applyAlignment="1">
      <alignment horizontal="left" vertical="center" wrapText="1"/>
    </xf>
    <xf numFmtId="0" fontId="38" fillId="0" borderId="79" xfId="22" applyFont="1" applyBorder="1" applyAlignment="1">
      <alignment horizontal="left" vertical="center" wrapText="1"/>
    </xf>
    <xf numFmtId="0" fontId="31" fillId="0" borderId="79" xfId="22" applyFont="1" applyBorder="1" applyAlignment="1">
      <alignment vertical="center" wrapText="1"/>
    </xf>
    <xf numFmtId="0" fontId="30" fillId="0" borderId="95" xfId="22" applyFont="1" applyBorder="1" applyAlignment="1">
      <alignment horizontal="left" indent="1"/>
    </xf>
    <xf numFmtId="1" fontId="30" fillId="0" borderId="95" xfId="22" applyNumberFormat="1" applyFont="1" applyBorder="1" applyAlignment="1">
      <alignment horizontal="center"/>
    </xf>
    <xf numFmtId="2" fontId="30" fillId="0" borderId="95" xfId="22" applyNumberFormat="1" applyFont="1" applyBorder="1"/>
    <xf numFmtId="2" fontId="30" fillId="0" borderId="79" xfId="22" applyNumberFormat="1" applyFont="1" applyBorder="1" applyAlignment="1">
      <alignment horizontal="center" vertical="center"/>
    </xf>
    <xf numFmtId="0" fontId="30" fillId="0" borderId="79" xfId="22" applyFont="1" applyBorder="1" applyAlignment="1">
      <alignment horizontal="left" vertical="center" indent="1"/>
    </xf>
    <xf numFmtId="169" fontId="31" fillId="0" borderId="106" xfId="22" applyNumberFormat="1" applyFont="1" applyBorder="1" applyAlignment="1">
      <alignment horizontal="center"/>
    </xf>
    <xf numFmtId="169" fontId="31" fillId="0" borderId="107" xfId="22" applyNumberFormat="1" applyFont="1" applyBorder="1" applyAlignment="1">
      <alignment horizontal="center"/>
    </xf>
    <xf numFmtId="169" fontId="31" fillId="0" borderId="108" xfId="22" applyNumberFormat="1" applyFont="1" applyBorder="1" applyAlignment="1">
      <alignment horizontal="center"/>
    </xf>
    <xf numFmtId="2" fontId="30" fillId="0" borderId="79" xfId="22" applyNumberFormat="1" applyFont="1" applyBorder="1" applyAlignment="1">
      <alignment horizontal="center"/>
    </xf>
    <xf numFmtId="0" fontId="31" fillId="0" borderId="92" xfId="22" applyFont="1" applyBorder="1" applyAlignment="1">
      <alignment vertical="center"/>
    </xf>
    <xf numFmtId="0" fontId="31" fillId="0" borderId="110" xfId="22" applyFont="1" applyBorder="1" applyAlignment="1">
      <alignment vertical="center"/>
    </xf>
    <xf numFmtId="0" fontId="30" fillId="0" borderId="110" xfId="22" applyFont="1" applyBorder="1" applyAlignment="1">
      <alignment horizontal="left" vertical="center" indent="1"/>
    </xf>
    <xf numFmtId="0" fontId="30" fillId="0" borderId="110" xfId="22" applyFont="1" applyBorder="1" applyAlignment="1">
      <alignment horizontal="center" vertical="center"/>
    </xf>
    <xf numFmtId="0" fontId="34" fillId="0" borderId="110" xfId="22" applyFont="1" applyBorder="1" applyAlignment="1">
      <alignment horizontal="center" vertical="center"/>
    </xf>
    <xf numFmtId="0" fontId="31" fillId="0" borderId="79" xfId="22" applyFont="1" applyBorder="1" applyAlignment="1">
      <alignment horizontal="left" vertical="center"/>
    </xf>
    <xf numFmtId="0" fontId="33" fillId="0" borderId="109" xfId="22" applyFont="1" applyBorder="1" applyAlignment="1">
      <alignment horizontal="left" vertical="center" wrapText="1" shrinkToFit="1"/>
    </xf>
    <xf numFmtId="0" fontId="33" fillId="0" borderId="108" xfId="22" applyFont="1" applyBorder="1" applyAlignment="1">
      <alignment horizontal="left" vertical="center" wrapText="1" shrinkToFit="1"/>
    </xf>
    <xf numFmtId="0" fontId="33" fillId="0" borderId="109" xfId="22" applyFont="1" applyBorder="1" applyAlignment="1">
      <alignment horizontal="left" wrapText="1" shrinkToFit="1"/>
    </xf>
    <xf numFmtId="0" fontId="33" fillId="0" borderId="108" xfId="22" applyFont="1" applyBorder="1" applyAlignment="1">
      <alignment horizontal="left" wrapText="1" shrinkToFit="1"/>
    </xf>
    <xf numFmtId="0" fontId="31" fillId="0" borderId="117" xfId="22" applyFont="1" applyBorder="1" applyAlignment="1">
      <alignment horizontal="center" vertical="top"/>
    </xf>
    <xf numFmtId="0" fontId="31" fillId="0" borderId="116" xfId="22" applyFont="1" applyBorder="1" applyAlignment="1">
      <alignment horizontal="center" vertical="top"/>
    </xf>
    <xf numFmtId="0" fontId="31" fillId="0" borderId="118" xfId="22" applyFont="1" applyBorder="1" applyAlignment="1">
      <alignment horizontal="center" vertical="top"/>
    </xf>
    <xf numFmtId="0" fontId="31" fillId="0" borderId="111" xfId="22" applyFont="1" applyBorder="1" applyAlignment="1">
      <alignment horizontal="center" vertical="top"/>
    </xf>
    <xf numFmtId="0" fontId="31" fillId="0" borderId="0" xfId="22" applyFont="1" applyBorder="1" applyAlignment="1">
      <alignment horizontal="center" vertical="top"/>
    </xf>
    <xf numFmtId="0" fontId="31" fillId="0" borderId="122" xfId="22" applyFont="1" applyBorder="1" applyAlignment="1">
      <alignment horizontal="center" vertical="top"/>
    </xf>
    <xf numFmtId="0" fontId="31" fillId="0" borderId="119" xfId="22" applyFont="1" applyBorder="1" applyAlignment="1">
      <alignment horizontal="center" vertical="top"/>
    </xf>
    <xf numFmtId="0" fontId="31" fillId="0" borderId="121" xfId="22" applyFont="1" applyBorder="1" applyAlignment="1">
      <alignment horizontal="center" vertical="top"/>
    </xf>
    <xf numFmtId="0" fontId="31" fillId="0" borderId="120" xfId="22" applyFont="1" applyBorder="1" applyAlignment="1">
      <alignment horizontal="center" vertical="top"/>
    </xf>
    <xf numFmtId="0" fontId="33" fillId="0" borderId="109" xfId="22" applyFont="1" applyBorder="1" applyAlignment="1">
      <alignment horizontal="left" shrinkToFit="1"/>
    </xf>
    <xf numFmtId="0" fontId="33" fillId="0" borderId="108" xfId="22" applyFont="1" applyBorder="1" applyAlignment="1">
      <alignment horizontal="left" shrinkToFit="1"/>
    </xf>
    <xf numFmtId="0" fontId="31" fillId="0" borderId="111" xfId="22" applyFont="1" applyBorder="1" applyAlignment="1">
      <alignment horizontal="center" vertical="center"/>
    </xf>
    <xf numFmtId="0" fontId="31" fillId="0" borderId="112" xfId="22" applyFont="1" applyBorder="1" applyAlignment="1">
      <alignment horizontal="center" vertical="center"/>
    </xf>
    <xf numFmtId="0" fontId="32" fillId="0" borderId="103" xfId="22" applyFont="1" applyBorder="1" applyAlignment="1">
      <alignment horizontal="left" vertical="center" indent="1"/>
    </xf>
    <xf numFmtId="0" fontId="32" fillId="0" borderId="104" xfId="22" applyFont="1" applyBorder="1" applyAlignment="1">
      <alignment horizontal="left" vertical="center" indent="1"/>
    </xf>
    <xf numFmtId="0" fontId="33" fillId="0" borderId="113" xfId="22" applyFont="1" applyBorder="1" applyAlignment="1">
      <alignment horizontal="left" wrapText="1" shrinkToFit="1"/>
    </xf>
    <xf numFmtId="0" fontId="33" fillId="0" borderId="114" xfId="22" applyFont="1" applyBorder="1" applyAlignment="1">
      <alignment horizontal="left" wrapText="1" shrinkToFit="1"/>
    </xf>
    <xf numFmtId="0" fontId="41" fillId="0" borderId="165" xfId="0" applyFont="1" applyBorder="1" applyAlignment="1">
      <alignment horizontal="left"/>
    </xf>
    <xf numFmtId="0" fontId="41" fillId="0" borderId="128" xfId="0" applyFont="1" applyBorder="1" applyAlignment="1">
      <alignment horizontal="left"/>
    </xf>
    <xf numFmtId="0" fontId="41" fillId="0" borderId="141" xfId="0" applyFont="1" applyBorder="1" applyAlignment="1">
      <alignment horizontal="left"/>
    </xf>
    <xf numFmtId="0" fontId="41" fillId="0" borderId="139" xfId="0" applyFont="1" applyBorder="1" applyAlignment="1">
      <alignment horizontal="center" vertical="center"/>
    </xf>
    <xf numFmtId="0" fontId="41" fillId="0" borderId="134" xfId="0" applyFont="1" applyBorder="1" applyAlignment="1">
      <alignment horizontal="center" vertical="center"/>
    </xf>
    <xf numFmtId="0" fontId="41" fillId="0" borderId="132" xfId="0" applyFont="1" applyBorder="1" applyAlignment="1">
      <alignment horizontal="center" vertical="center"/>
    </xf>
    <xf numFmtId="0" fontId="41" fillId="0" borderId="133" xfId="0" applyFont="1" applyBorder="1" applyAlignment="1">
      <alignment horizontal="center" vertical="center"/>
    </xf>
    <xf numFmtId="0" fontId="41" fillId="0" borderId="88" xfId="0" applyFont="1" applyBorder="1" applyAlignment="1">
      <alignment horizontal="left" vertical="center" wrapText="1"/>
    </xf>
    <xf numFmtId="0" fontId="41" fillId="0" borderId="97" xfId="0" applyFont="1" applyBorder="1" applyAlignment="1">
      <alignment horizontal="left" vertical="center" wrapText="1"/>
    </xf>
    <xf numFmtId="0" fontId="41" fillId="0" borderId="89" xfId="0" applyFont="1" applyBorder="1" applyAlignment="1">
      <alignment horizontal="left" vertical="center" wrapText="1"/>
    </xf>
    <xf numFmtId="0" fontId="41" fillId="0" borderId="98" xfId="0" applyFont="1" applyBorder="1" applyAlignment="1">
      <alignment horizontal="left" vertical="center" wrapText="1"/>
    </xf>
    <xf numFmtId="0" fontId="41" fillId="0" borderId="95" xfId="0" applyFont="1" applyBorder="1" applyAlignment="1">
      <alignment horizontal="left" vertical="center" wrapText="1"/>
    </xf>
    <xf numFmtId="0" fontId="41" fillId="0" borderId="142" xfId="0" applyFont="1" applyBorder="1" applyAlignment="1">
      <alignment horizontal="left" vertical="center" wrapText="1"/>
    </xf>
    <xf numFmtId="0" fontId="41" fillId="0" borderId="132" xfId="0" applyFont="1" applyBorder="1" applyAlignment="1">
      <alignment horizontal="center"/>
    </xf>
    <xf numFmtId="0" fontId="41" fillId="0" borderId="134" xfId="0" applyFont="1" applyBorder="1" applyAlignment="1">
      <alignment horizontal="center"/>
    </xf>
    <xf numFmtId="0" fontId="41" fillId="0" borderId="133" xfId="0" applyFont="1" applyBorder="1" applyAlignment="1">
      <alignment horizontal="center"/>
    </xf>
    <xf numFmtId="0" fontId="41" fillId="0" borderId="92" xfId="0" applyFont="1" applyBorder="1" applyAlignment="1">
      <alignment horizontal="left" vertical="center" wrapText="1"/>
    </xf>
    <xf numFmtId="0" fontId="41" fillId="0" borderId="110" xfId="0" applyFont="1" applyBorder="1" applyAlignment="1">
      <alignment horizontal="left" vertical="center" wrapText="1"/>
    </xf>
    <xf numFmtId="0" fontId="41" fillId="0" borderId="136" xfId="0" applyFont="1" applyBorder="1" applyAlignment="1">
      <alignment horizontal="left" vertical="center" wrapText="1"/>
    </xf>
    <xf numFmtId="0" fontId="41" fillId="0" borderId="135" xfId="0" applyFont="1" applyBorder="1" applyAlignment="1">
      <alignment horizontal="left" vertical="center" wrapText="1"/>
    </xf>
    <xf numFmtId="0" fontId="41" fillId="0" borderId="90" xfId="0" applyFont="1" applyBorder="1" applyAlignment="1">
      <alignment horizontal="left" vertical="center" wrapText="1"/>
    </xf>
    <xf numFmtId="0" fontId="41" fillId="0" borderId="79" xfId="0" applyFont="1" applyBorder="1" applyAlignment="1">
      <alignment horizontal="left" vertical="center" wrapText="1"/>
    </xf>
    <xf numFmtId="0" fontId="41" fillId="0" borderId="106" xfId="0" applyFont="1" applyBorder="1" applyAlignment="1">
      <alignment horizontal="left" vertical="center" wrapText="1"/>
    </xf>
    <xf numFmtId="0" fontId="41" fillId="0" borderId="91" xfId="0" applyFont="1" applyBorder="1" applyAlignment="1">
      <alignment horizontal="left" vertical="center" wrapText="1"/>
    </xf>
    <xf numFmtId="0" fontId="41" fillId="0" borderId="127" xfId="0" applyFont="1" applyBorder="1" applyAlignment="1">
      <alignment horizontal="center" vertical="center"/>
    </xf>
    <xf numFmtId="0" fontId="41" fillId="0" borderId="107" xfId="0" applyFont="1" applyBorder="1" applyAlignment="1">
      <alignment horizontal="center" vertical="center"/>
    </xf>
    <xf numFmtId="0" fontId="41" fillId="0" borderId="128" xfId="0" applyFont="1" applyBorder="1" applyAlignment="1">
      <alignment horizontal="center" vertical="center"/>
    </xf>
    <xf numFmtId="0" fontId="41" fillId="0" borderId="129" xfId="0" applyFont="1" applyBorder="1" applyAlignment="1">
      <alignment horizontal="center"/>
    </xf>
    <xf numFmtId="0" fontId="41" fillId="0" borderId="131" xfId="0" applyFont="1" applyBorder="1" applyAlignment="1">
      <alignment horizontal="center"/>
    </xf>
    <xf numFmtId="0" fontId="41" fillId="0" borderId="130" xfId="0" applyFont="1" applyBorder="1" applyAlignment="1">
      <alignment horizontal="center"/>
    </xf>
    <xf numFmtId="0" fontId="41" fillId="0" borderId="138" xfId="0" applyFont="1" applyBorder="1" applyAlignment="1">
      <alignment horizontal="center" vertical="center"/>
    </xf>
    <xf numFmtId="0" fontId="41" fillId="0" borderId="138" xfId="0" applyFont="1" applyBorder="1" applyAlignment="1">
      <alignment horizontal="center"/>
    </xf>
    <xf numFmtId="0" fontId="41" fillId="0" borderId="139" xfId="0" applyFont="1" applyBorder="1" applyAlignment="1">
      <alignment horizontal="center"/>
    </xf>
    <xf numFmtId="0" fontId="40" fillId="0" borderId="117" xfId="0" applyFont="1" applyBorder="1" applyAlignment="1">
      <alignment horizontal="center"/>
    </xf>
    <xf numFmtId="0" fontId="40" fillId="0" borderId="116" xfId="0" applyFont="1" applyBorder="1" applyAlignment="1">
      <alignment horizontal="center"/>
    </xf>
    <xf numFmtId="0" fontId="40" fillId="0" borderId="118" xfId="0" applyFont="1" applyBorder="1" applyAlignment="1">
      <alignment horizontal="center"/>
    </xf>
    <xf numFmtId="0" fontId="41" fillId="0" borderId="93" xfId="0" applyFont="1" applyBorder="1" applyAlignment="1">
      <alignment horizontal="left" vertical="center" wrapText="1"/>
    </xf>
    <xf numFmtId="0" fontId="0" fillId="0" borderId="117" xfId="0" applyFont="1" applyBorder="1" applyAlignment="1">
      <alignment horizontal="center"/>
    </xf>
    <xf numFmtId="0" fontId="0" fillId="0" borderId="116" xfId="0" applyFont="1" applyBorder="1" applyAlignment="1">
      <alignment horizontal="center"/>
    </xf>
    <xf numFmtId="0" fontId="0" fillId="0" borderId="11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19" xfId="0" applyFont="1" applyBorder="1" applyAlignment="1">
      <alignment horizontal="center"/>
    </xf>
    <xf numFmtId="0" fontId="0" fillId="0" borderId="121" xfId="0" applyFont="1" applyBorder="1" applyAlignment="1">
      <alignment horizontal="center"/>
    </xf>
    <xf numFmtId="0" fontId="40" fillId="0" borderId="124" xfId="0" applyFont="1" applyBorder="1" applyAlignment="1">
      <alignment horizontal="center" vertical="center"/>
    </xf>
    <xf numFmtId="0" fontId="40" fillId="0" borderId="105" xfId="0" applyFont="1" applyBorder="1" applyAlignment="1">
      <alignment horizontal="center" vertical="center"/>
    </xf>
    <xf numFmtId="0" fontId="40" fillId="0" borderId="96" xfId="0" applyFont="1" applyBorder="1" applyAlignment="1">
      <alignment horizontal="center" vertical="center"/>
    </xf>
    <xf numFmtId="0" fontId="41" fillId="0" borderId="117" xfId="0" applyFont="1" applyBorder="1" applyAlignment="1">
      <alignment horizontal="center" vertical="center" wrapText="1"/>
    </xf>
    <xf numFmtId="0" fontId="41" fillId="0" borderId="116" xfId="0" applyFont="1" applyBorder="1" applyAlignment="1">
      <alignment horizontal="center" vertical="center" wrapText="1"/>
    </xf>
    <xf numFmtId="0" fontId="41" fillId="0" borderId="118" xfId="0" applyFont="1" applyBorder="1" applyAlignment="1">
      <alignment horizontal="center" vertical="center" wrapText="1"/>
    </xf>
    <xf numFmtId="0" fontId="41" fillId="0" borderId="119" xfId="0" applyFont="1" applyBorder="1" applyAlignment="1">
      <alignment horizontal="center" vertical="center" wrapText="1"/>
    </xf>
    <xf numFmtId="0" fontId="41" fillId="0" borderId="121" xfId="0" applyFont="1" applyBorder="1" applyAlignment="1">
      <alignment horizontal="center" vertical="center" wrapText="1"/>
    </xf>
    <xf numFmtId="0" fontId="41" fillId="0" borderId="120" xfId="0" applyFont="1" applyBorder="1" applyAlignment="1">
      <alignment horizontal="center" vertical="center" wrapText="1"/>
    </xf>
    <xf numFmtId="0" fontId="41" fillId="0" borderId="88" xfId="0" applyFont="1" applyBorder="1" applyAlignment="1">
      <alignment horizontal="center" vertical="center"/>
    </xf>
    <xf numFmtId="0" fontId="41" fillId="0" borderId="97" xfId="0" applyFont="1" applyBorder="1" applyAlignment="1">
      <alignment horizontal="center" vertical="center"/>
    </xf>
    <xf numFmtId="0" fontId="41" fillId="0" borderId="89" xfId="0" applyFont="1" applyBorder="1" applyAlignment="1">
      <alignment horizontal="center" vertical="center"/>
    </xf>
    <xf numFmtId="0" fontId="41" fillId="0" borderId="90" xfId="0" applyFont="1" applyBorder="1" applyAlignment="1">
      <alignment horizontal="center" vertical="center"/>
    </xf>
    <xf numFmtId="0" fontId="41" fillId="0" borderId="79" xfId="0" applyFont="1" applyBorder="1" applyAlignment="1">
      <alignment horizontal="center" vertical="center"/>
    </xf>
    <xf numFmtId="0" fontId="41" fillId="0" borderId="91" xfId="0" applyFont="1" applyBorder="1" applyAlignment="1">
      <alignment horizontal="center" vertical="center"/>
    </xf>
    <xf numFmtId="0" fontId="41" fillId="0" borderId="92" xfId="0" applyFont="1" applyBorder="1" applyAlignment="1">
      <alignment horizontal="center" vertical="center"/>
    </xf>
    <xf numFmtId="0" fontId="41" fillId="0" borderId="110" xfId="0" applyFont="1" applyBorder="1" applyAlignment="1">
      <alignment horizontal="center" vertical="center"/>
    </xf>
    <xf numFmtId="0" fontId="41" fillId="0" borderId="93" xfId="0" applyFont="1" applyBorder="1" applyAlignment="1">
      <alignment horizontal="center" vertical="center"/>
    </xf>
    <xf numFmtId="0" fontId="41" fillId="0" borderId="145" xfId="0" applyFont="1" applyBorder="1" applyAlignment="1">
      <alignment horizontal="left" vertical="center" wrapText="1"/>
    </xf>
    <xf numFmtId="0" fontId="41" fillId="0" borderId="78" xfId="0" applyFont="1" applyBorder="1" applyAlignment="1">
      <alignment horizontal="left" vertical="center" wrapText="1"/>
    </xf>
    <xf numFmtId="0" fontId="41" fillId="0" borderId="100" xfId="0" applyFont="1" applyBorder="1" applyAlignment="1">
      <alignment horizontal="left" vertical="center" wrapText="1"/>
    </xf>
    <xf numFmtId="0" fontId="41" fillId="0" borderId="117" xfId="0" applyFont="1" applyBorder="1" applyAlignment="1">
      <alignment horizontal="center" vertical="center"/>
    </xf>
    <xf numFmtId="0" fontId="41" fillId="0" borderId="116" xfId="0" applyFont="1" applyBorder="1" applyAlignment="1">
      <alignment horizontal="center" vertical="center"/>
    </xf>
    <xf numFmtId="0" fontId="41" fillId="0" borderId="118" xfId="0" applyFont="1" applyBorder="1" applyAlignment="1">
      <alignment horizontal="center" vertical="center"/>
    </xf>
    <xf numFmtId="0" fontId="41" fillId="0" borderId="111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0" fontId="41" fillId="0" borderId="122" xfId="0" applyFont="1" applyBorder="1" applyAlignment="1">
      <alignment horizontal="center" vertical="center"/>
    </xf>
    <xf numFmtId="0" fontId="41" fillId="0" borderId="119" xfId="0" applyFont="1" applyBorder="1" applyAlignment="1">
      <alignment horizontal="center" vertical="center"/>
    </xf>
    <xf numFmtId="0" fontId="41" fillId="0" borderId="121" xfId="0" applyFont="1" applyBorder="1" applyAlignment="1">
      <alignment horizontal="center" vertical="center"/>
    </xf>
    <xf numFmtId="0" fontId="41" fillId="0" borderId="120" xfId="0" applyFont="1" applyBorder="1" applyAlignment="1">
      <alignment horizontal="center" vertical="center"/>
    </xf>
    <xf numFmtId="0" fontId="41" fillId="0" borderId="111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39" fillId="0" borderId="88" xfId="0" applyFont="1" applyBorder="1" applyAlignment="1">
      <alignment horizontal="left"/>
    </xf>
    <xf numFmtId="0" fontId="39" fillId="0" borderId="97" xfId="0" applyFont="1" applyBorder="1" applyAlignment="1">
      <alignment horizontal="left"/>
    </xf>
    <xf numFmtId="0" fontId="39" fillId="0" borderId="89" xfId="0" applyFont="1" applyBorder="1" applyAlignment="1">
      <alignment horizontal="left"/>
    </xf>
    <xf numFmtId="0" fontId="39" fillId="0" borderId="90" xfId="0" applyFont="1" applyBorder="1" applyAlignment="1">
      <alignment horizontal="left"/>
    </xf>
    <xf numFmtId="0" fontId="39" fillId="0" borderId="79" xfId="0" applyFont="1" applyBorder="1" applyAlignment="1">
      <alignment horizontal="left"/>
    </xf>
    <xf numFmtId="0" fontId="39" fillId="0" borderId="91" xfId="0" applyFont="1" applyBorder="1" applyAlignment="1">
      <alignment horizontal="left"/>
    </xf>
    <xf numFmtId="0" fontId="39" fillId="0" borderId="92" xfId="0" applyFont="1" applyBorder="1" applyAlignment="1">
      <alignment horizontal="left"/>
    </xf>
    <xf numFmtId="0" fontId="39" fillId="0" borderId="110" xfId="0" applyFont="1" applyBorder="1" applyAlignment="1">
      <alignment horizontal="left"/>
    </xf>
    <xf numFmtId="0" fontId="39" fillId="0" borderId="93" xfId="0" applyFont="1" applyBorder="1" applyAlignment="1">
      <alignment horizontal="left"/>
    </xf>
    <xf numFmtId="0" fontId="41" fillId="0" borderId="127" xfId="0" applyFont="1" applyBorder="1" applyAlignment="1">
      <alignment horizontal="center" vertical="center" wrapText="1"/>
    </xf>
    <xf numFmtId="0" fontId="41" fillId="0" borderId="128" xfId="0" applyFont="1" applyBorder="1" applyAlignment="1">
      <alignment horizontal="center" vertical="center" wrapText="1"/>
    </xf>
    <xf numFmtId="0" fontId="41" fillId="0" borderId="132" xfId="0" applyFont="1" applyBorder="1" applyAlignment="1">
      <alignment horizontal="center" vertical="center" wrapText="1"/>
    </xf>
    <xf numFmtId="0" fontId="41" fillId="0" borderId="134" xfId="0" applyFont="1" applyBorder="1" applyAlignment="1">
      <alignment horizontal="center" vertical="center" wrapText="1"/>
    </xf>
    <xf numFmtId="0" fontId="41" fillId="0" borderId="138" xfId="0" applyFont="1" applyBorder="1" applyAlignment="1">
      <alignment horizontal="center" vertical="center" wrapText="1"/>
    </xf>
    <xf numFmtId="0" fontId="41" fillId="0" borderId="122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39" fillId="7" borderId="167" xfId="0" applyFont="1" applyFill="1" applyBorder="1" applyAlignment="1">
      <alignment horizontal="center"/>
    </xf>
    <xf numFmtId="0" fontId="39" fillId="7" borderId="142" xfId="0" applyFont="1" applyFill="1" applyBorder="1" applyAlignment="1">
      <alignment horizontal="center"/>
    </xf>
    <xf numFmtId="0" fontId="47" fillId="3" borderId="79" xfId="0" applyFont="1" applyFill="1" applyBorder="1" applyAlignment="1">
      <alignment horizontal="center"/>
    </xf>
    <xf numFmtId="0" fontId="47" fillId="3" borderId="106" xfId="0" applyFont="1" applyFill="1" applyBorder="1" applyAlignment="1">
      <alignment horizontal="center"/>
    </xf>
    <xf numFmtId="0" fontId="47" fillId="3" borderId="107" xfId="0" applyFont="1" applyFill="1" applyBorder="1" applyAlignment="1">
      <alignment horizontal="center"/>
    </xf>
    <xf numFmtId="0" fontId="47" fillId="3" borderId="108" xfId="0" applyFont="1" applyFill="1" applyBorder="1" applyAlignment="1">
      <alignment horizontal="center"/>
    </xf>
    <xf numFmtId="0" fontId="40" fillId="14" borderId="2" xfId="0" applyFont="1" applyFill="1" applyBorder="1" applyAlignment="1">
      <alignment horizontal="left"/>
    </xf>
    <xf numFmtId="0" fontId="48" fillId="0" borderId="11" xfId="0" applyFont="1" applyBorder="1"/>
    <xf numFmtId="0" fontId="48" fillId="0" borderId="3" xfId="0" applyFont="1" applyBorder="1"/>
    <xf numFmtId="0" fontId="40" fillId="4" borderId="2" xfId="0" applyFont="1" applyFill="1" applyBorder="1" applyAlignment="1">
      <alignment horizontal="center"/>
    </xf>
    <xf numFmtId="0" fontId="48" fillId="0" borderId="94" xfId="0" applyFont="1" applyBorder="1"/>
    <xf numFmtId="0" fontId="48" fillId="0" borderId="28" xfId="0" applyFont="1" applyBorder="1"/>
    <xf numFmtId="182" fontId="40" fillId="46" borderId="105" xfId="0" applyNumberFormat="1" applyFont="1" applyFill="1" applyBorder="1" applyAlignment="1">
      <alignment horizontal="center"/>
    </xf>
    <xf numFmtId="182" fontId="40" fillId="46" borderId="96" xfId="0" applyNumberFormat="1" applyFont="1" applyFill="1" applyBorder="1" applyAlignment="1">
      <alignment horizontal="center"/>
    </xf>
    <xf numFmtId="182" fontId="40" fillId="41" borderId="105" xfId="0" applyNumberFormat="1" applyFont="1" applyFill="1" applyBorder="1" applyAlignment="1">
      <alignment horizontal="center"/>
    </xf>
    <xf numFmtId="182" fontId="40" fillId="41" borderId="96" xfId="0" applyNumberFormat="1" applyFont="1" applyFill="1" applyBorder="1" applyAlignment="1">
      <alignment horizontal="center"/>
    </xf>
    <xf numFmtId="177" fontId="40" fillId="30" borderId="105" xfId="0" applyNumberFormat="1" applyFont="1" applyFill="1" applyBorder="1" applyAlignment="1">
      <alignment horizontal="center"/>
    </xf>
    <xf numFmtId="0" fontId="40" fillId="30" borderId="96" xfId="0" applyFont="1" applyFill="1" applyBorder="1" applyAlignment="1">
      <alignment horizontal="center"/>
    </xf>
    <xf numFmtId="177" fontId="40" fillId="31" borderId="105" xfId="0" applyNumberFormat="1" applyFont="1" applyFill="1" applyBorder="1" applyAlignment="1">
      <alignment horizontal="center"/>
    </xf>
    <xf numFmtId="0" fontId="40" fillId="31" borderId="96" xfId="0" applyFont="1" applyFill="1" applyBorder="1" applyAlignment="1">
      <alignment horizontal="center"/>
    </xf>
    <xf numFmtId="0" fontId="40" fillId="15" borderId="92" xfId="0" applyFont="1" applyFill="1" applyBorder="1" applyAlignment="1">
      <alignment horizontal="left"/>
    </xf>
    <xf numFmtId="0" fontId="40" fillId="15" borderId="110" xfId="0" applyFont="1" applyFill="1" applyBorder="1" applyAlignment="1">
      <alignment horizontal="left"/>
    </xf>
    <xf numFmtId="0" fontId="40" fillId="15" borderId="88" xfId="0" applyFont="1" applyFill="1" applyBorder="1" applyAlignment="1">
      <alignment horizontal="center"/>
    </xf>
    <xf numFmtId="0" fontId="40" fillId="15" borderId="97" xfId="0" applyFont="1" applyFill="1" applyBorder="1" applyAlignment="1">
      <alignment horizontal="center"/>
    </xf>
    <xf numFmtId="0" fontId="40" fillId="15" borderId="89" xfId="0" applyFont="1" applyFill="1" applyBorder="1" applyAlignment="1">
      <alignment horizontal="center"/>
    </xf>
    <xf numFmtId="0" fontId="40" fillId="31" borderId="124" xfId="0" applyFont="1" applyFill="1" applyBorder="1" applyAlignment="1">
      <alignment horizontal="center" vertical="center"/>
    </xf>
    <xf numFmtId="0" fontId="40" fillId="31" borderId="96" xfId="0" applyFont="1" applyFill="1" applyBorder="1" applyAlignment="1">
      <alignment horizontal="center" vertical="center"/>
    </xf>
    <xf numFmtId="0" fontId="40" fillId="31" borderId="109" xfId="0" applyFont="1" applyFill="1" applyBorder="1" applyAlignment="1">
      <alignment horizontal="center"/>
    </xf>
    <xf numFmtId="0" fontId="40" fillId="31" borderId="137" xfId="0" applyFont="1" applyFill="1" applyBorder="1" applyAlignment="1">
      <alignment horizontal="center"/>
    </xf>
    <xf numFmtId="0" fontId="40" fillId="31" borderId="103" xfId="0" applyFont="1" applyFill="1" applyBorder="1" applyAlignment="1">
      <alignment horizontal="center"/>
    </xf>
    <xf numFmtId="0" fontId="40" fillId="31" borderId="147" xfId="0" applyFont="1" applyFill="1" applyBorder="1" applyAlignment="1">
      <alignment horizontal="center"/>
    </xf>
    <xf numFmtId="0" fontId="39" fillId="17" borderId="88" xfId="0" applyFont="1" applyFill="1" applyBorder="1" applyAlignment="1">
      <alignment horizontal="left"/>
    </xf>
    <xf numFmtId="0" fontId="39" fillId="17" borderId="97" xfId="0" applyFont="1" applyFill="1" applyBorder="1" applyAlignment="1">
      <alignment horizontal="left"/>
    </xf>
    <xf numFmtId="4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9" fillId="17" borderId="168" xfId="0" applyFont="1" applyFill="1" applyBorder="1" applyAlignment="1">
      <alignment horizontal="left"/>
    </xf>
    <xf numFmtId="0" fontId="39" fillId="17" borderId="140" xfId="0" applyFont="1" applyFill="1" applyBorder="1" applyAlignment="1">
      <alignment horizontal="left"/>
    </xf>
    <xf numFmtId="0" fontId="39" fillId="17" borderId="109" xfId="0" applyFont="1" applyFill="1" applyBorder="1" applyAlignment="1">
      <alignment horizontal="left"/>
    </xf>
    <xf numFmtId="0" fontId="39" fillId="17" borderId="137" xfId="0" applyFont="1" applyFill="1" applyBorder="1" applyAlignment="1">
      <alignment horizontal="left"/>
    </xf>
    <xf numFmtId="0" fontId="39" fillId="17" borderId="92" xfId="0" applyFont="1" applyFill="1" applyBorder="1" applyAlignment="1">
      <alignment horizontal="left"/>
    </xf>
    <xf numFmtId="0" fontId="39" fillId="17" borderId="110" xfId="0" applyFont="1" applyFill="1" applyBorder="1" applyAlignment="1">
      <alignment horizontal="left"/>
    </xf>
    <xf numFmtId="0" fontId="39" fillId="17" borderId="168" xfId="0" applyFont="1" applyFill="1" applyBorder="1" applyAlignment="1">
      <alignment horizontal="center"/>
    </xf>
    <xf numFmtId="0" fontId="39" fillId="17" borderId="140" xfId="0" applyFont="1" applyFill="1" applyBorder="1" applyAlignment="1">
      <alignment horizontal="center"/>
    </xf>
    <xf numFmtId="0" fontId="40" fillId="41" borderId="148" xfId="0" applyFont="1" applyFill="1" applyBorder="1" applyAlignment="1">
      <alignment horizontal="center"/>
    </xf>
    <xf numFmtId="0" fontId="40" fillId="41" borderId="149" xfId="0" applyFont="1" applyFill="1" applyBorder="1" applyAlignment="1">
      <alignment horizontal="center"/>
    </xf>
    <xf numFmtId="0" fontId="39" fillId="40" borderId="92" xfId="0" applyFont="1" applyFill="1" applyBorder="1" applyAlignment="1">
      <alignment horizontal="center"/>
    </xf>
    <xf numFmtId="0" fontId="39" fillId="40" borderId="93" xfId="0" applyFont="1" applyFill="1" applyBorder="1" applyAlignment="1">
      <alignment horizontal="center"/>
    </xf>
    <xf numFmtId="0" fontId="39" fillId="0" borderId="111" xfId="0" applyFont="1" applyBorder="1" applyAlignment="1">
      <alignment horizontal="center"/>
    </xf>
    <xf numFmtId="0" fontId="39" fillId="17" borderId="165" xfId="0" applyFont="1" applyFill="1" applyBorder="1" applyAlignment="1">
      <alignment horizontal="left"/>
    </xf>
    <xf numFmtId="0" fontId="39" fillId="17" borderId="141" xfId="0" applyFont="1" applyFill="1" applyBorder="1" applyAlignment="1">
      <alignment horizontal="left"/>
    </xf>
    <xf numFmtId="0" fontId="40" fillId="41" borderId="88" xfId="0" applyFont="1" applyFill="1" applyBorder="1" applyAlignment="1">
      <alignment horizontal="center"/>
    </xf>
    <xf numFmtId="0" fontId="40" fillId="41" borderId="97" xfId="0" applyFont="1" applyFill="1" applyBorder="1" applyAlignment="1">
      <alignment horizontal="center"/>
    </xf>
    <xf numFmtId="0" fontId="40" fillId="41" borderId="89" xfId="0" applyFont="1" applyFill="1" applyBorder="1" applyAlignment="1">
      <alignment horizontal="center"/>
    </xf>
    <xf numFmtId="0" fontId="46" fillId="32" borderId="146" xfId="0" applyFont="1" applyFill="1" applyBorder="1" applyAlignment="1">
      <alignment horizontal="left"/>
    </xf>
    <xf numFmtId="0" fontId="46" fillId="32" borderId="101" xfId="0" applyFont="1" applyFill="1" applyBorder="1" applyAlignment="1">
      <alignment horizontal="left"/>
    </xf>
    <xf numFmtId="0" fontId="46" fillId="40" borderId="148" xfId="0" applyFont="1" applyFill="1" applyBorder="1" applyAlignment="1">
      <alignment horizontal="center"/>
    </xf>
    <xf numFmtId="0" fontId="46" fillId="40" borderId="149" xfId="0" applyFont="1" applyFill="1" applyBorder="1" applyAlignment="1">
      <alignment horizontal="center"/>
    </xf>
    <xf numFmtId="0" fontId="39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46" fillId="42" borderId="117" xfId="0" applyFont="1" applyFill="1" applyBorder="1" applyAlignment="1">
      <alignment horizontal="left"/>
    </xf>
    <xf numFmtId="0" fontId="46" fillId="42" borderId="116" xfId="0" applyFont="1" applyFill="1" applyBorder="1" applyAlignment="1">
      <alignment horizontal="left"/>
    </xf>
    <xf numFmtId="0" fontId="46" fillId="46" borderId="119" xfId="0" applyFont="1" applyFill="1" applyBorder="1" applyAlignment="1">
      <alignment horizontal="center"/>
    </xf>
    <xf numFmtId="0" fontId="46" fillId="46" borderId="121" xfId="0" applyFont="1" applyFill="1" applyBorder="1" applyAlignment="1">
      <alignment horizontal="center"/>
    </xf>
    <xf numFmtId="0" fontId="40" fillId="41" borderId="119" xfId="0" applyFont="1" applyFill="1" applyBorder="1" applyAlignment="1">
      <alignment horizontal="center" vertical="center"/>
    </xf>
    <xf numFmtId="0" fontId="40" fillId="41" borderId="121" xfId="0" applyFont="1" applyFill="1" applyBorder="1" applyAlignment="1">
      <alignment horizontal="center" vertical="center"/>
    </xf>
    <xf numFmtId="0" fontId="40" fillId="41" borderId="117" xfId="0" applyFont="1" applyFill="1" applyBorder="1" applyAlignment="1">
      <alignment horizontal="center"/>
    </xf>
    <xf numFmtId="0" fontId="40" fillId="41" borderId="116" xfId="0" applyFont="1" applyFill="1" applyBorder="1" applyAlignment="1">
      <alignment horizontal="center"/>
    </xf>
    <xf numFmtId="0" fontId="0" fillId="0" borderId="160" xfId="0" applyFont="1" applyBorder="1" applyAlignment="1">
      <alignment horizontal="left"/>
    </xf>
    <xf numFmtId="0" fontId="39" fillId="36" borderId="166" xfId="0" applyFont="1" applyFill="1" applyBorder="1" applyAlignment="1">
      <alignment horizontal="center"/>
    </xf>
    <xf numFmtId="0" fontId="0" fillId="36" borderId="153" xfId="0" applyFont="1" applyFill="1" applyBorder="1" applyAlignment="1">
      <alignment horizontal="center"/>
    </xf>
    <xf numFmtId="0" fontId="0" fillId="36" borderId="154" xfId="0" applyFont="1" applyFill="1" applyBorder="1" applyAlignment="1">
      <alignment horizontal="center"/>
    </xf>
    <xf numFmtId="0" fontId="39" fillId="30" borderId="90" xfId="0" applyFont="1" applyFill="1" applyBorder="1" applyAlignment="1">
      <alignment horizontal="center" vertical="center" wrapText="1"/>
    </xf>
    <xf numFmtId="0" fontId="0" fillId="30" borderId="106" xfId="0" applyFont="1" applyFill="1" applyBorder="1" applyAlignment="1">
      <alignment horizontal="center" vertical="center" wrapText="1"/>
    </xf>
    <xf numFmtId="0" fontId="0" fillId="30" borderId="92" xfId="0" applyFont="1" applyFill="1" applyBorder="1" applyAlignment="1">
      <alignment horizontal="center" vertical="center" wrapText="1"/>
    </xf>
    <xf numFmtId="0" fontId="0" fillId="30" borderId="136" xfId="0" applyFont="1" applyFill="1" applyBorder="1" applyAlignment="1">
      <alignment horizontal="center" vertical="center" wrapText="1"/>
    </xf>
    <xf numFmtId="44" fontId="0" fillId="0" borderId="90" xfId="0" applyNumberFormat="1" applyFont="1" applyBorder="1" applyAlignment="1">
      <alignment horizontal="center"/>
    </xf>
    <xf numFmtId="0" fontId="0" fillId="0" borderId="91" xfId="0" applyFont="1" applyBorder="1" applyAlignment="1">
      <alignment horizontal="center"/>
    </xf>
    <xf numFmtId="0" fontId="0" fillId="0" borderId="92" xfId="0" applyFont="1" applyBorder="1" applyAlignment="1">
      <alignment horizontal="center"/>
    </xf>
    <xf numFmtId="0" fontId="0" fillId="0" borderId="93" xfId="0" applyFont="1" applyBorder="1" applyAlignment="1">
      <alignment horizontal="center"/>
    </xf>
    <xf numFmtId="0" fontId="39" fillId="30" borderId="168" xfId="0" applyFont="1" applyFill="1" applyBorder="1" applyAlignment="1">
      <alignment horizontal="center" wrapText="1"/>
    </xf>
    <xf numFmtId="0" fontId="39" fillId="30" borderId="140" xfId="0" applyFont="1" applyFill="1" applyBorder="1" applyAlignment="1">
      <alignment horizontal="center" wrapText="1"/>
    </xf>
    <xf numFmtId="1" fontId="0" fillId="0" borderId="168" xfId="0" applyNumberFormat="1" applyFont="1" applyBorder="1" applyAlignment="1">
      <alignment horizontal="center" vertical="center"/>
    </xf>
    <xf numFmtId="1" fontId="0" fillId="0" borderId="140" xfId="0" applyNumberFormat="1" applyFont="1" applyBorder="1" applyAlignment="1">
      <alignment horizontal="center" vertical="center"/>
    </xf>
    <xf numFmtId="165" fontId="40" fillId="0" borderId="176" xfId="26" applyFont="1" applyFill="1" applyBorder="1" applyAlignment="1">
      <alignment horizontal="center"/>
    </xf>
    <xf numFmtId="165" fontId="40" fillId="0" borderId="89" xfId="26" applyFont="1" applyFill="1" applyBorder="1" applyAlignment="1">
      <alignment horizontal="center"/>
    </xf>
    <xf numFmtId="165" fontId="0" fillId="0" borderId="108" xfId="26" applyFont="1" applyBorder="1" applyAlignment="1">
      <alignment horizontal="left"/>
    </xf>
    <xf numFmtId="165" fontId="0" fillId="0" borderId="91" xfId="26" applyFont="1" applyBorder="1" applyAlignment="1">
      <alignment horizontal="left"/>
    </xf>
    <xf numFmtId="0" fontId="39" fillId="37" borderId="88" xfId="0" applyFont="1" applyFill="1" applyBorder="1" applyAlignment="1">
      <alignment horizontal="left"/>
    </xf>
    <xf numFmtId="0" fontId="39" fillId="37" borderId="89" xfId="0" applyFont="1" applyFill="1" applyBorder="1" applyAlignment="1">
      <alignment horizontal="left"/>
    </xf>
    <xf numFmtId="0" fontId="39" fillId="37" borderId="90" xfId="0" applyFont="1" applyFill="1" applyBorder="1" applyAlignment="1">
      <alignment horizontal="left"/>
    </xf>
    <xf numFmtId="0" fontId="39" fillId="37" borderId="91" xfId="0" applyFont="1" applyFill="1" applyBorder="1" applyAlignment="1">
      <alignment horizontal="left"/>
    </xf>
    <xf numFmtId="0" fontId="39" fillId="37" borderId="92" xfId="0" applyFont="1" applyFill="1" applyBorder="1" applyAlignment="1">
      <alignment horizontal="left"/>
    </xf>
    <xf numFmtId="0" fontId="39" fillId="37" borderId="93" xfId="0" applyFont="1" applyFill="1" applyBorder="1" applyAlignment="1">
      <alignment horizontal="left"/>
    </xf>
    <xf numFmtId="1" fontId="0" fillId="0" borderId="88" xfId="0" applyNumberFormat="1" applyFont="1" applyBorder="1" applyAlignment="1">
      <alignment horizontal="center" vertical="center"/>
    </xf>
    <xf numFmtId="1" fontId="0" fillId="0" borderId="89" xfId="0" applyNumberFormat="1" applyFont="1" applyBorder="1" applyAlignment="1">
      <alignment horizontal="center" vertical="center"/>
    </xf>
    <xf numFmtId="1" fontId="0" fillId="0" borderId="90" xfId="0" applyNumberFormat="1" applyFont="1" applyBorder="1" applyAlignment="1">
      <alignment horizontal="center" vertical="center"/>
    </xf>
    <xf numFmtId="1" fontId="0" fillId="0" borderId="91" xfId="0" applyNumberFormat="1" applyFont="1" applyBorder="1" applyAlignment="1">
      <alignment horizontal="center" vertical="center"/>
    </xf>
    <xf numFmtId="0" fontId="39" fillId="30" borderId="88" xfId="0" applyFont="1" applyFill="1" applyBorder="1" applyAlignment="1">
      <alignment horizontal="center" wrapText="1"/>
    </xf>
    <xf numFmtId="0" fontId="0" fillId="30" borderId="135" xfId="0" applyFont="1" applyFill="1" applyBorder="1" applyAlignment="1">
      <alignment horizontal="center" wrapText="1"/>
    </xf>
    <xf numFmtId="0" fontId="0" fillId="30" borderId="90" xfId="0" applyFont="1" applyFill="1" applyBorder="1" applyAlignment="1">
      <alignment horizontal="center" wrapText="1"/>
    </xf>
    <xf numFmtId="0" fontId="0" fillId="30" borderId="106" xfId="0" applyFont="1" applyFill="1" applyBorder="1" applyAlignment="1">
      <alignment horizontal="center" wrapText="1"/>
    </xf>
    <xf numFmtId="0" fontId="39" fillId="30" borderId="90" xfId="0" applyFont="1" applyFill="1" applyBorder="1" applyAlignment="1">
      <alignment horizontal="center" wrapText="1"/>
    </xf>
    <xf numFmtId="0" fontId="0" fillId="30" borderId="92" xfId="0" applyFont="1" applyFill="1" applyBorder="1" applyAlignment="1">
      <alignment horizontal="center" wrapText="1"/>
    </xf>
    <xf numFmtId="0" fontId="0" fillId="30" borderId="136" xfId="0" applyFont="1" applyFill="1" applyBorder="1" applyAlignment="1">
      <alignment horizontal="center" wrapText="1"/>
    </xf>
    <xf numFmtId="0" fontId="49" fillId="41" borderId="167" xfId="0" applyFont="1" applyFill="1" applyBorder="1" applyAlignment="1">
      <alignment horizontal="center" vertical="center"/>
    </xf>
    <xf numFmtId="0" fontId="49" fillId="41" borderId="114" xfId="0" applyFont="1" applyFill="1" applyBorder="1" applyAlignment="1">
      <alignment horizontal="center" vertical="center"/>
    </xf>
    <xf numFmtId="0" fontId="49" fillId="41" borderId="161" xfId="0" applyFont="1" applyFill="1" applyBorder="1" applyAlignment="1">
      <alignment horizontal="center" vertical="center"/>
    </xf>
    <xf numFmtId="0" fontId="49" fillId="41" borderId="112" xfId="0" applyFont="1" applyFill="1" applyBorder="1" applyAlignment="1">
      <alignment horizontal="center" vertical="center"/>
    </xf>
    <xf numFmtId="0" fontId="49" fillId="41" borderId="142" xfId="0" applyFont="1" applyFill="1" applyBorder="1" applyAlignment="1">
      <alignment horizontal="center" vertical="center"/>
    </xf>
    <xf numFmtId="0" fontId="49" fillId="41" borderId="162" xfId="0" applyFont="1" applyFill="1" applyBorder="1" applyAlignment="1">
      <alignment horizontal="center" vertical="center"/>
    </xf>
    <xf numFmtId="0" fontId="40" fillId="24" borderId="79" xfId="0" applyFont="1" applyFill="1" applyBorder="1" applyAlignment="1">
      <alignment horizontal="center"/>
    </xf>
    <xf numFmtId="0" fontId="1" fillId="28" borderId="88" xfId="0" applyFont="1" applyFill="1" applyBorder="1" applyAlignment="1">
      <alignment horizontal="left" vertical="center" wrapText="1"/>
    </xf>
    <xf numFmtId="0" fontId="1" fillId="28" borderId="97" xfId="0" applyFont="1" applyFill="1" applyBorder="1" applyAlignment="1">
      <alignment horizontal="left" vertical="center" wrapText="1"/>
    </xf>
    <xf numFmtId="0" fontId="1" fillId="28" borderId="90" xfId="0" applyFont="1" applyFill="1" applyBorder="1" applyAlignment="1">
      <alignment horizontal="left" vertical="center"/>
    </xf>
    <xf numFmtId="0" fontId="1" fillId="28" borderId="79" xfId="0" applyFont="1" applyFill="1" applyBorder="1" applyAlignment="1">
      <alignment horizontal="left" vertical="center"/>
    </xf>
    <xf numFmtId="0" fontId="1" fillId="28" borderId="92" xfId="0" applyFont="1" applyFill="1" applyBorder="1" applyAlignment="1">
      <alignment horizontal="left" vertical="center"/>
    </xf>
    <xf numFmtId="0" fontId="1" fillId="28" borderId="110" xfId="0" applyFont="1" applyFill="1" applyBorder="1" applyAlignment="1">
      <alignment horizontal="left" vertical="center"/>
    </xf>
    <xf numFmtId="44" fontId="1" fillId="0" borderId="91" xfId="0" applyNumberFormat="1" applyFont="1" applyBorder="1" applyAlignment="1">
      <alignment horizontal="center" vertical="center"/>
    </xf>
    <xf numFmtId="44" fontId="1" fillId="0" borderId="93" xfId="0" applyNumberFormat="1" applyFont="1" applyBorder="1" applyAlignment="1">
      <alignment horizontal="center" vertical="center"/>
    </xf>
    <xf numFmtId="0" fontId="1" fillId="30" borderId="92" xfId="0" applyFont="1" applyFill="1" applyBorder="1" applyAlignment="1">
      <alignment horizontal="center"/>
    </xf>
    <xf numFmtId="0" fontId="1" fillId="30" borderId="110" xfId="0" applyFont="1" applyFill="1" applyBorder="1" applyAlignment="1">
      <alignment horizontal="center"/>
    </xf>
    <xf numFmtId="0" fontId="28" fillId="24" borderId="88" xfId="0" applyFont="1" applyFill="1" applyBorder="1" applyAlignment="1">
      <alignment horizontal="center"/>
    </xf>
    <xf numFmtId="0" fontId="28" fillId="24" borderId="97" xfId="0" applyFont="1" applyFill="1" applyBorder="1" applyAlignment="1">
      <alignment horizontal="center"/>
    </xf>
    <xf numFmtId="0" fontId="1" fillId="30" borderId="90" xfId="0" applyFont="1" applyFill="1" applyBorder="1" applyAlignment="1">
      <alignment horizontal="center"/>
    </xf>
    <xf numFmtId="0" fontId="1" fillId="30" borderId="79" xfId="0" applyFont="1" applyFill="1" applyBorder="1" applyAlignment="1">
      <alignment horizontal="center"/>
    </xf>
    <xf numFmtId="0" fontId="28" fillId="36" borderId="168" xfId="0" applyFont="1" applyFill="1" applyBorder="1" applyAlignment="1">
      <alignment horizontal="center"/>
    </xf>
    <xf numFmtId="0" fontId="28" fillId="36" borderId="127" xfId="0" applyFont="1" applyFill="1" applyBorder="1" applyAlignment="1">
      <alignment horizontal="center"/>
    </xf>
    <xf numFmtId="0" fontId="28" fillId="36" borderId="14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0" fontId="56" fillId="15" borderId="79" xfId="0" applyFont="1" applyFill="1" applyBorder="1" applyAlignment="1">
      <alignment horizontal="center" vertical="center"/>
    </xf>
    <xf numFmtId="0" fontId="39" fillId="17" borderId="79" xfId="0" applyFont="1" applyFill="1" applyBorder="1" applyAlignment="1">
      <alignment horizontal="left"/>
    </xf>
    <xf numFmtId="0" fontId="0" fillId="17" borderId="79" xfId="0" applyFont="1" applyFill="1" applyBorder="1" applyAlignment="1">
      <alignment horizontal="left"/>
    </xf>
    <xf numFmtId="0" fontId="61" fillId="0" borderId="0" xfId="0" applyFont="1" applyAlignment="1">
      <alignment horizontal="center" vertical="center"/>
    </xf>
    <xf numFmtId="8" fontId="39" fillId="0" borderId="79" xfId="0" applyNumberFormat="1" applyFont="1" applyBorder="1" applyAlignment="1">
      <alignment horizontal="right"/>
    </xf>
    <xf numFmtId="165" fontId="45" fillId="0" borderId="0" xfId="26" applyFont="1" applyAlignment="1"/>
    <xf numFmtId="8" fontId="45" fillId="0" borderId="0" xfId="0" applyNumberFormat="1" applyFont="1" applyAlignment="1"/>
    <xf numFmtId="0" fontId="40" fillId="28" borderId="79" xfId="0" applyFont="1" applyFill="1" applyBorder="1" applyAlignment="1">
      <alignment horizontal="center"/>
    </xf>
    <xf numFmtId="0" fontId="0" fillId="43" borderId="79" xfId="0" applyFont="1" applyFill="1" applyBorder="1" applyAlignment="1"/>
    <xf numFmtId="0" fontId="0" fillId="0" borderId="108" xfId="0" applyFont="1" applyBorder="1" applyAlignment="1">
      <alignment horizontal="center"/>
    </xf>
    <xf numFmtId="0" fontId="39" fillId="0" borderId="106" xfId="0" applyFont="1" applyBorder="1" applyAlignment="1">
      <alignment horizontal="center"/>
    </xf>
    <xf numFmtId="0" fontId="39" fillId="43" borderId="79" xfId="0" applyFont="1" applyFill="1" applyBorder="1" applyAlignment="1"/>
    <xf numFmtId="0" fontId="40" fillId="43" borderId="79" xfId="0" applyFont="1" applyFill="1" applyBorder="1" applyAlignment="1"/>
  </cellXfs>
  <cellStyles count="28">
    <cellStyle name="% completado" xfId="13" xr:uid="{01096852-96F4-4A0E-BE4A-B2766185AFF4}"/>
    <cellStyle name="Actividad" xfId="4" xr:uid="{397FF488-7635-48EB-B9A6-44F893F2359A}"/>
    <cellStyle name="Control del periodo resaltado" xfId="17" xr:uid="{787FDD2D-8DBA-451E-8C8A-7D3CFD9471F4}"/>
    <cellStyle name="Encabezado 1 2" xfId="19" xr:uid="{ABEACFA6-611D-4D8B-83F0-A198D80E536E}"/>
    <cellStyle name="Encabezado 4 2" xfId="9" xr:uid="{BD9E8BC6-0930-4E92-80C9-46ABAB0A796E}"/>
    <cellStyle name="Encabezados de los periodos" xfId="5" xr:uid="{E121DAFB-57B7-4ECB-A488-79E3DDB11CC0}"/>
    <cellStyle name="Encabezados del proyecto" xfId="8" xr:uid="{18E8562F-0BF0-49F8-B32A-0936CBBE3282}"/>
    <cellStyle name="Etiqueta" xfId="10" xr:uid="{92148555-EA80-4287-AFD7-B8A56E7B38B1}"/>
    <cellStyle name="Leyenda de la duración real" xfId="14" xr:uid="{E3D44D68-655F-4B2C-A7ED-389086F796B0}"/>
    <cellStyle name="Leyenda de la duración real (fuera del plan)" xfId="12" xr:uid="{ED2461CC-9F4A-44B4-8CD4-FBB55E517620}"/>
    <cellStyle name="Leyenda del % completado (fuera del plan)" xfId="11" xr:uid="{36B80516-640E-4F1D-BBBF-A9E183917502}"/>
    <cellStyle name="Leyenda del plan" xfId="15" xr:uid="{94506EF6-061C-47A3-A437-995BA50D6A95}"/>
    <cellStyle name="Millares" xfId="25" builtinId="3"/>
    <cellStyle name="Moneda" xfId="26" builtinId="4"/>
    <cellStyle name="Moneda 2" xfId="24" xr:uid="{22A4FE07-041C-4FB3-8EE4-30923BB683F2}"/>
    <cellStyle name="Neutral" xfId="27" builtinId="28"/>
    <cellStyle name="Normal" xfId="0" builtinId="0"/>
    <cellStyle name="Normal 2" xfId="2" xr:uid="{0CBF2B6C-7ED2-489A-9848-17FE6078D31E}"/>
    <cellStyle name="Normal 3" xfId="21" xr:uid="{9CB97394-E7ED-4549-B21D-8E94B6AD0992}"/>
    <cellStyle name="Normal 4" xfId="22" xr:uid="{B75E2416-E89A-42EC-883B-4689BA2CA554}"/>
    <cellStyle name="Porcentaje" xfId="1" builtinId="5"/>
    <cellStyle name="Porcentaje 2" xfId="23" xr:uid="{80FE67DC-D837-4A6B-B73B-0EDE5D098086}"/>
    <cellStyle name="Porcentaje completado" xfId="3" xr:uid="{B52E7058-AC44-4BC8-8BBF-79C42316106F}"/>
    <cellStyle name="Texto explicativo 2" xfId="18" xr:uid="{20B79885-D8CC-4321-A690-52DFC1DD367E}"/>
    <cellStyle name="Título 2 2" xfId="7" xr:uid="{C525B30F-1FA6-43F4-926C-4B4DEA1F2F52}"/>
    <cellStyle name="Título 3 2" xfId="6" xr:uid="{5CF505E0-31B8-4740-AE62-7EB6C3DFC18A}"/>
    <cellStyle name="Título 4" xfId="20" xr:uid="{1B0C028A-3776-4289-BAD4-E5F500A026D1}"/>
    <cellStyle name="Valor del periodo" xfId="16" xr:uid="{53CE3136-099D-4FEF-8666-0B6B1DC974C4}"/>
  </cellStyles>
  <dxfs count="16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</dxfs>
  <tableStyles count="0" defaultTableStyle="TableStyleMedium2" defaultPivotStyle="PivotStyleLight16"/>
  <colors>
    <mruColors>
      <color rgb="FFFFFFCC"/>
      <color rgb="FFFAFF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971406515362051"/>
          <c:y val="3.1609195402298854E-2"/>
          <c:w val="0.83882430137409292"/>
          <c:h val="0.93678160919540232"/>
        </c:manualLayout>
      </c:layout>
      <c:lineChart>
        <c:grouping val="standard"/>
        <c:varyColors val="0"/>
        <c:ser>
          <c:idx val="0"/>
          <c:order val="0"/>
          <c:tx>
            <c:strRef>
              <c:f>'Estudio Financiero'!$C$76</c:f>
              <c:strCache>
                <c:ptCount val="1"/>
                <c:pt idx="0">
                  <c:v>VAN Sin Financiamiento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'Estudio Financiero'!$C$77:$C$126</c:f>
              <c:numCache>
                <c:formatCode>"$"#,##0.00_);[Red]\("$"#,##0.00\)</c:formatCode>
                <c:ptCount val="50"/>
                <c:pt idx="0">
                  <c:v>327596311.32569504</c:v>
                </c:pt>
                <c:pt idx="1">
                  <c:v>302637794.10507721</c:v>
                </c:pt>
                <c:pt idx="2">
                  <c:v>279714104.60200804</c:v>
                </c:pt>
                <c:pt idx="3">
                  <c:v>258631660.7433455</c:v>
                </c:pt>
                <c:pt idx="4">
                  <c:v>239217480.69163442</c:v>
                </c:pt>
                <c:pt idx="5">
                  <c:v>221316783.1085149</c:v>
                </c:pt>
                <c:pt idx="6">
                  <c:v>204790889.35300338</c:v>
                </c:pt>
                <c:pt idx="7">
                  <c:v>189515386.96417513</c:v>
                </c:pt>
                <c:pt idx="8">
                  <c:v>175378519.59319523</c:v>
                </c:pt>
                <c:pt idx="9">
                  <c:v>162279773.48590851</c:v>
                </c:pt>
                <c:pt idx="10">
                  <c:v>150128634.81413189</c:v>
                </c:pt>
                <c:pt idx="11">
                  <c:v>138843495.72789621</c:v>
                </c:pt>
                <c:pt idx="12">
                  <c:v>128350690.04944372</c:v>
                </c:pt>
                <c:pt idx="13">
                  <c:v>118583642.13411805</c:v>
                </c:pt>
                <c:pt idx="14">
                  <c:v>109482114.6515604</c:v>
                </c:pt>
                <c:pt idx="15">
                  <c:v>100991542.94998288</c:v>
                </c:pt>
                <c:pt idx="16">
                  <c:v>93062445.304857105</c:v>
                </c:pt>
                <c:pt idx="17">
                  <c:v>85649899.76150912</c:v>
                </c:pt>
                <c:pt idx="18">
                  <c:v>78713079.493059963</c:v>
                </c:pt>
                <c:pt idx="19">
                  <c:v>72214839.639642268</c:v>
                </c:pt>
                <c:pt idx="20">
                  <c:v>66121349.496279418</c:v>
                </c:pt>
                <c:pt idx="21">
                  <c:v>60401764.695857704</c:v>
                </c:pt>
                <c:pt idx="22">
                  <c:v>55027934.707797512</c:v>
                </c:pt>
                <c:pt idx="23">
                  <c:v>49974141.557204932</c:v>
                </c:pt>
                <c:pt idx="24">
                  <c:v>45216866.176144987</c:v>
                </c:pt>
                <c:pt idx="25">
                  <c:v>40734579.239008874</c:v>
                </c:pt>
                <c:pt idx="26">
                  <c:v>36507553.716964558</c:v>
                </c:pt>
                <c:pt idx="27">
                  <c:v>32517696.720055506</c:v>
                </c:pt>
                <c:pt idx="28">
                  <c:v>28748398.486382514</c:v>
                </c:pt>
                <c:pt idx="29">
                  <c:v>25184396.631737754</c:v>
                </c:pt>
                <c:pt idx="30">
                  <c:v>21811653.99501352</c:v>
                </c:pt>
                <c:pt idx="31">
                  <c:v>18617248.608931154</c:v>
                </c:pt>
                <c:pt idx="32">
                  <c:v>15589274.495789528</c:v>
                </c:pt>
                <c:pt idx="33">
                  <c:v>12716752.137167111</c:v>
                </c:pt>
                <c:pt idx="34">
                  <c:v>9989547.5975453705</c:v>
                </c:pt>
                <c:pt idx="35">
                  <c:v>7398299.3969995975</c:v>
                </c:pt>
                <c:pt idx="36">
                  <c:v>4934352.3294536769</c:v>
                </c:pt>
                <c:pt idx="37">
                  <c:v>2589697.5122747421</c:v>
                </c:pt>
                <c:pt idx="38">
                  <c:v>356918.03170770407</c:v>
                </c:pt>
                <c:pt idx="39">
                  <c:v>-1770860.3818523735</c:v>
                </c:pt>
                <c:pt idx="40">
                  <c:v>-3800014.1533514708</c:v>
                </c:pt>
                <c:pt idx="41">
                  <c:v>-5736462.587612316</c:v>
                </c:pt>
                <c:pt idx="42">
                  <c:v>-7585704.9211110175</c:v>
                </c:pt>
                <c:pt idx="43">
                  <c:v>-9352854.0605677515</c:v>
                </c:pt>
                <c:pt idx="44">
                  <c:v>-11042667.330117814</c:v>
                </c:pt>
                <c:pt idx="45">
                  <c:v>-12659574.515256248</c:v>
                </c:pt>
                <c:pt idx="46">
                  <c:v>-14207703.461910084</c:v>
                </c:pt>
                <c:pt idx="47">
                  <c:v>-15690903.46244739</c:v>
                </c:pt>
                <c:pt idx="48">
                  <c:v>-17112766.636794701</c:v>
                </c:pt>
                <c:pt idx="49">
                  <c:v>-18476647.495768912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A8-43CD-9F98-4AA8756A9529}"/>
            </c:ext>
          </c:extLst>
        </c:ser>
        <c:ser>
          <c:idx val="1"/>
          <c:order val="1"/>
          <c:tx>
            <c:strRef>
              <c:f>'Estudio Financiero'!$D$76</c:f>
              <c:strCache>
                <c:ptCount val="1"/>
                <c:pt idx="0">
                  <c:v>VAN Con Financiamiento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'Estudio Financiero'!$D$77:$D$126</c:f>
              <c:numCache>
                <c:formatCode>"$"#,##0.00_);[Red]\("$"#,##0.00\)</c:formatCode>
                <c:ptCount val="50"/>
                <c:pt idx="0">
                  <c:v>307727553.77349454</c:v>
                </c:pt>
                <c:pt idx="1">
                  <c:v>284513674.9890368</c:v>
                </c:pt>
                <c:pt idx="2">
                  <c:v>263255496.17868233</c:v>
                </c:pt>
                <c:pt idx="3">
                  <c:v>243763970.49097496</c:v>
                </c:pt>
                <c:pt idx="4">
                  <c:v>225870343.55134082</c:v>
                </c:pt>
                <c:pt idx="5">
                  <c:v>209423777.61615485</c:v>
                </c:pt>
                <c:pt idx="6">
                  <c:v>194289275.58580655</c:v>
                </c:pt>
                <c:pt idx="7">
                  <c:v>180345864.42512876</c:v>
                </c:pt>
                <c:pt idx="8">
                  <c:v>167485003.33421761</c:v>
                </c:pt>
                <c:pt idx="9">
                  <c:v>155609186.93051678</c:v>
                </c:pt>
                <c:pt idx="10">
                  <c:v>144630717.88361651</c:v>
                </c:pt>
                <c:pt idx="11">
                  <c:v>134470627.00377387</c:v>
                </c:pt>
                <c:pt idx="12">
                  <c:v>125057721.82076605</c:v>
                </c:pt>
                <c:pt idx="13">
                  <c:v>116327747.2824765</c:v>
                </c:pt>
                <c:pt idx="14">
                  <c:v>108222644.42059149</c:v>
                </c:pt>
                <c:pt idx="15">
                  <c:v>100689894.73094</c:v>
                </c:pt>
                <c:pt idx="16">
                  <c:v>93681939.646351427</c:v>
                </c:pt>
                <c:pt idx="17">
                  <c:v>87155665.880696043</c:v>
                </c:pt>
                <c:pt idx="18">
                  <c:v>81071948.628124624</c:v>
                </c:pt>
                <c:pt idx="19">
                  <c:v>75395245.640097946</c:v>
                </c:pt>
                <c:pt idx="20">
                  <c:v>70093236.098941043</c:v>
                </c:pt>
                <c:pt idx="21">
                  <c:v>65136498.980931237</c:v>
                </c:pt>
                <c:pt idx="22">
                  <c:v>60498226.271808222</c:v>
                </c:pt>
                <c:pt idx="23">
                  <c:v>56153966.97790812</c:v>
                </c:pt>
                <c:pt idx="24">
                  <c:v>52081398.379501089</c:v>
                </c:pt>
                <c:pt idx="25">
                  <c:v>48260121.410100698</c:v>
                </c:pt>
                <c:pt idx="26">
                  <c:v>44671477.425697789</c:v>
                </c:pt>
                <c:pt idx="27">
                  <c:v>41298383.958884642</c:v>
                </c:pt>
                <c:pt idx="28">
                  <c:v>38125187.341389701</c:v>
                </c:pt>
                <c:pt idx="29">
                  <c:v>35137530.330381766</c:v>
                </c:pt>
                <c:pt idx="30">
                  <c:v>32322233.093957499</c:v>
                </c:pt>
                <c:pt idx="31">
                  <c:v>29667186.10372816</c:v>
                </c:pt>
                <c:pt idx="32">
                  <c:v>27161253.651015207</c:v>
                </c:pt>
                <c:pt idx="33">
                  <c:v>24794186.850980416</c:v>
                </c:pt>
                <c:pt idx="34">
                  <c:v>22556545.128763743</c:v>
                </c:pt>
                <c:pt idx="35">
                  <c:v>20439625.295708299</c:v>
                </c:pt>
                <c:pt idx="36">
                  <c:v>18435397.424036965</c:v>
                </c:pt>
                <c:pt idx="37">
                  <c:v>16536446.816655226</c:v>
                </c:pt>
                <c:pt idx="38">
                  <c:v>14735921.446592838</c:v>
                </c:pt>
                <c:pt idx="39">
                  <c:v>13027484.309289709</c:v>
                </c:pt>
                <c:pt idx="40">
                  <c:v>11405270.191595756</c:v>
                </c:pt>
                <c:pt idx="41">
                  <c:v>9863846.4150021523</c:v>
                </c:pt>
                <c:pt idx="42">
                  <c:v>8398177.1580924913</c:v>
                </c:pt>
                <c:pt idx="43">
                  <c:v>7003591.0052630678</c:v>
                </c:pt>
                <c:pt idx="44">
                  <c:v>5675751.4060546756</c:v>
                </c:pt>
                <c:pt idx="45">
                  <c:v>4410629.7625406757</c:v>
                </c:pt>
                <c:pt idx="46">
                  <c:v>3204480.8916231766</c:v>
                </c:pt>
                <c:pt idx="47">
                  <c:v>2053820.6352394447</c:v>
                </c:pt>
                <c:pt idx="48">
                  <c:v>955405.41475436091</c:v>
                </c:pt>
                <c:pt idx="49">
                  <c:v>-93786.453452132642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A8-43CD-9F98-4AA8756A9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8973872"/>
        <c:axId val="841715296"/>
      </c:lineChart>
      <c:catAx>
        <c:axId val="74897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841715296"/>
        <c:crosses val="autoZero"/>
        <c:auto val="1"/>
        <c:lblAlgn val="ctr"/>
        <c:lblOffset val="100"/>
        <c:noMultiLvlLbl val="0"/>
      </c:catAx>
      <c:valAx>
        <c:axId val="841715296"/>
        <c:scaling>
          <c:orientation val="minMax"/>
          <c:max val="210000000"/>
          <c:min val="-1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748973872"/>
        <c:crosses val="autoZero"/>
        <c:crossBetween val="between"/>
        <c:majorUnit val="20000000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</c:legendEntry>
      <c:layout>
        <c:manualLayout>
          <c:xMode val="edge"/>
          <c:yMode val="edge"/>
          <c:x val="0.42183590301495438"/>
          <c:y val="0.20144595561918402"/>
          <c:w val="0.5377802102091499"/>
          <c:h val="0.126377735840871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563880</xdr:colOff>
      <xdr:row>1</xdr:row>
      <xdr:rowOff>106680</xdr:rowOff>
    </xdr:from>
    <xdr:to>
      <xdr:col>11</xdr:col>
      <xdr:colOff>746760</xdr:colOff>
      <xdr:row>3</xdr:row>
      <xdr:rowOff>106680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FDB2A292-BBD6-4F58-938F-773FDED2C452}"/>
            </a:ext>
          </a:extLst>
        </xdr:cNvPr>
        <xdr:cNvSpPr/>
      </xdr:nvSpPr>
      <xdr:spPr>
        <a:xfrm>
          <a:off x="13281660" y="480060"/>
          <a:ext cx="182880" cy="365760"/>
        </a:xfrm>
        <a:prstGeom prst="down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457200</xdr:colOff>
      <xdr:row>10</xdr:row>
      <xdr:rowOff>38100</xdr:rowOff>
    </xdr:from>
    <xdr:to>
      <xdr:col>3</xdr:col>
      <xdr:colOff>581025</xdr:colOff>
      <xdr:row>10</xdr:row>
      <xdr:rowOff>200025</xdr:rowOff>
    </xdr:to>
    <xdr:grpSp>
      <xdr:nvGrpSpPr>
        <xdr:cNvPr id="2" name="Group 4">
          <a:extLst>
            <a:ext uri="{FF2B5EF4-FFF2-40B4-BE49-F238E27FC236}">
              <a16:creationId xmlns:a16="http://schemas.microsoft.com/office/drawing/2014/main" id="{A58B5327-0636-4446-A740-3A09B6956F9C}"/>
            </a:ext>
          </a:extLst>
        </xdr:cNvPr>
        <xdr:cNvGrpSpPr>
          <a:grpSpLocks/>
        </xdr:cNvGrpSpPr>
      </xdr:nvGrpSpPr>
      <xdr:grpSpPr bwMode="auto">
        <a:xfrm>
          <a:off x="4122420" y="1927860"/>
          <a:ext cx="123825" cy="161925"/>
          <a:chOff x="728" y="203"/>
          <a:chExt cx="21" cy="2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84139842-FCD8-4647-BC59-E9F67D5EAD6F}"/>
              </a:ext>
            </a:extLst>
          </xdr:cNvPr>
          <xdr:cNvSpPr>
            <a:spLocks noChangeArrowheads="1"/>
          </xdr:cNvSpPr>
        </xdr:nvSpPr>
        <xdr:spPr bwMode="auto">
          <a:xfrm>
            <a:off x="728" y="203"/>
            <a:ext cx="21" cy="21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" name="Oval 1">
            <a:extLst>
              <a:ext uri="{FF2B5EF4-FFF2-40B4-BE49-F238E27FC236}">
                <a16:creationId xmlns:a16="http://schemas.microsoft.com/office/drawing/2014/main" id="{C55D0FEE-8ACD-41E7-86C7-1481EC4D1F89}"/>
              </a:ext>
            </a:extLst>
          </xdr:cNvPr>
          <xdr:cNvSpPr>
            <a:spLocks noChangeArrowheads="1"/>
          </xdr:cNvSpPr>
        </xdr:nvSpPr>
        <xdr:spPr bwMode="auto">
          <a:xfrm>
            <a:off x="732" y="207"/>
            <a:ext cx="13" cy="13"/>
          </a:xfrm>
          <a:prstGeom prst="ellipse">
            <a:avLst/>
          </a:prstGeom>
          <a:solidFill>
            <a:srgbClr val="FFFFFF"/>
          </a:solidFill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</xdr:col>
      <xdr:colOff>474345</xdr:colOff>
      <xdr:row>8</xdr:row>
      <xdr:rowOff>38100</xdr:rowOff>
    </xdr:from>
    <xdr:to>
      <xdr:col>3</xdr:col>
      <xdr:colOff>582930</xdr:colOff>
      <xdr:row>8</xdr:row>
      <xdr:rowOff>200025</xdr:rowOff>
    </xdr:to>
    <xdr:sp macro="" textlink="">
      <xdr:nvSpPr>
        <xdr:cNvPr id="5" name="Oval 2">
          <a:extLst>
            <a:ext uri="{FF2B5EF4-FFF2-40B4-BE49-F238E27FC236}">
              <a16:creationId xmlns:a16="http://schemas.microsoft.com/office/drawing/2014/main" id="{8F7DEC79-5EEC-4152-84C8-051F177E17CB}"/>
            </a:ext>
          </a:extLst>
        </xdr:cNvPr>
        <xdr:cNvSpPr>
          <a:spLocks noChangeArrowheads="1"/>
        </xdr:cNvSpPr>
      </xdr:nvSpPr>
      <xdr:spPr bwMode="auto">
        <a:xfrm>
          <a:off x="4139565" y="1455420"/>
          <a:ext cx="108585" cy="1619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457200</xdr:colOff>
      <xdr:row>9</xdr:row>
      <xdr:rowOff>38100</xdr:rowOff>
    </xdr:from>
    <xdr:to>
      <xdr:col>3</xdr:col>
      <xdr:colOff>581025</xdr:colOff>
      <xdr:row>9</xdr:row>
      <xdr:rowOff>200025</xdr:rowOff>
    </xdr:to>
    <xdr:sp macro="" textlink="">
      <xdr:nvSpPr>
        <xdr:cNvPr id="6" name="Rectangle 6">
          <a:extLst>
            <a:ext uri="{FF2B5EF4-FFF2-40B4-BE49-F238E27FC236}">
              <a16:creationId xmlns:a16="http://schemas.microsoft.com/office/drawing/2014/main" id="{D8E4CBE4-D0C8-4572-AAC8-9606CD5FF52F}"/>
            </a:ext>
          </a:extLst>
        </xdr:cNvPr>
        <xdr:cNvSpPr>
          <a:spLocks noChangeArrowheads="1"/>
        </xdr:cNvSpPr>
      </xdr:nvSpPr>
      <xdr:spPr bwMode="auto">
        <a:xfrm>
          <a:off x="4122420" y="1691640"/>
          <a:ext cx="12382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466725</xdr:colOff>
      <xdr:row>11</xdr:row>
      <xdr:rowOff>57150</xdr:rowOff>
    </xdr:from>
    <xdr:to>
      <xdr:col>3</xdr:col>
      <xdr:colOff>579120</xdr:colOff>
      <xdr:row>11</xdr:row>
      <xdr:rowOff>200025</xdr:rowOff>
    </xdr:to>
    <xdr:sp macro="" textlink="">
      <xdr:nvSpPr>
        <xdr:cNvPr id="7" name="AutoShape 10">
          <a:extLst>
            <a:ext uri="{FF2B5EF4-FFF2-40B4-BE49-F238E27FC236}">
              <a16:creationId xmlns:a16="http://schemas.microsoft.com/office/drawing/2014/main" id="{EFED8010-1025-42C4-A68E-919908EEF0B8}"/>
            </a:ext>
          </a:extLst>
        </xdr:cNvPr>
        <xdr:cNvSpPr>
          <a:spLocks noChangeArrowheads="1"/>
        </xdr:cNvSpPr>
      </xdr:nvSpPr>
      <xdr:spPr bwMode="auto">
        <a:xfrm>
          <a:off x="4131945" y="2183130"/>
          <a:ext cx="112395" cy="142875"/>
        </a:xfrm>
        <a:prstGeom prst="rightArrow">
          <a:avLst>
            <a:gd name="adj1" fmla="val 50000"/>
            <a:gd name="adj2" fmla="val 31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464820</xdr:colOff>
      <xdr:row>13</xdr:row>
      <xdr:rowOff>47625</xdr:rowOff>
    </xdr:from>
    <xdr:to>
      <xdr:col>3</xdr:col>
      <xdr:colOff>584835</xdr:colOff>
      <xdr:row>13</xdr:row>
      <xdr:rowOff>209550</xdr:rowOff>
    </xdr:to>
    <xdr:grpSp>
      <xdr:nvGrpSpPr>
        <xdr:cNvPr id="8" name="Group 14">
          <a:extLst>
            <a:ext uri="{FF2B5EF4-FFF2-40B4-BE49-F238E27FC236}">
              <a16:creationId xmlns:a16="http://schemas.microsoft.com/office/drawing/2014/main" id="{C1E4D8F4-F98F-42DA-89E6-D9C798E177F0}"/>
            </a:ext>
          </a:extLst>
        </xdr:cNvPr>
        <xdr:cNvGrpSpPr>
          <a:grpSpLocks/>
        </xdr:cNvGrpSpPr>
      </xdr:nvGrpSpPr>
      <xdr:grpSpPr bwMode="auto">
        <a:xfrm>
          <a:off x="4130040" y="2646045"/>
          <a:ext cx="120015" cy="161925"/>
          <a:chOff x="751" y="119"/>
          <a:chExt cx="77" cy="91"/>
        </a:xfrm>
      </xdr:grpSpPr>
      <xdr:sp macro="" textlink="">
        <xdr:nvSpPr>
          <xdr:cNvPr id="9" name="Line 11">
            <a:extLst>
              <a:ext uri="{FF2B5EF4-FFF2-40B4-BE49-F238E27FC236}">
                <a16:creationId xmlns:a16="http://schemas.microsoft.com/office/drawing/2014/main" id="{D36C6F4D-6FAF-4310-A3AE-BE6097C65E40}"/>
              </a:ext>
            </a:extLst>
          </xdr:cNvPr>
          <xdr:cNvSpPr>
            <a:spLocks noChangeShapeType="1"/>
          </xdr:cNvSpPr>
        </xdr:nvSpPr>
        <xdr:spPr bwMode="auto">
          <a:xfrm>
            <a:off x="751" y="119"/>
            <a:ext cx="7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" name="Line 12">
            <a:extLst>
              <a:ext uri="{FF2B5EF4-FFF2-40B4-BE49-F238E27FC236}">
                <a16:creationId xmlns:a16="http://schemas.microsoft.com/office/drawing/2014/main" id="{FE385431-96CE-48B5-B2FD-85D7589B2427}"/>
              </a:ext>
            </a:extLst>
          </xdr:cNvPr>
          <xdr:cNvSpPr>
            <a:spLocks noChangeShapeType="1"/>
          </xdr:cNvSpPr>
        </xdr:nvSpPr>
        <xdr:spPr bwMode="auto">
          <a:xfrm>
            <a:off x="751" y="120"/>
            <a:ext cx="38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" name="Line 13">
            <a:extLst>
              <a:ext uri="{FF2B5EF4-FFF2-40B4-BE49-F238E27FC236}">
                <a16:creationId xmlns:a16="http://schemas.microsoft.com/office/drawing/2014/main" id="{80C371E7-39AB-49EC-9810-348818F5F21D}"/>
              </a:ext>
            </a:extLst>
          </xdr:cNvPr>
          <xdr:cNvSpPr>
            <a:spLocks noChangeShapeType="1"/>
          </xdr:cNvSpPr>
        </xdr:nvSpPr>
        <xdr:spPr bwMode="auto">
          <a:xfrm flipH="1">
            <a:off x="791" y="119"/>
            <a:ext cx="37" cy="9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4</xdr:col>
      <xdr:colOff>57150</xdr:colOff>
      <xdr:row>17</xdr:row>
      <xdr:rowOff>57150</xdr:rowOff>
    </xdr:from>
    <xdr:to>
      <xdr:col>4</xdr:col>
      <xdr:colOff>200025</xdr:colOff>
      <xdr:row>17</xdr:row>
      <xdr:rowOff>200025</xdr:rowOff>
    </xdr:to>
    <xdr:sp macro="" textlink="">
      <xdr:nvSpPr>
        <xdr:cNvPr id="12" name="Oval 15">
          <a:extLst>
            <a:ext uri="{FF2B5EF4-FFF2-40B4-BE49-F238E27FC236}">
              <a16:creationId xmlns:a16="http://schemas.microsoft.com/office/drawing/2014/main" id="{7188D5D0-78A9-40A1-AEDE-D4A79F791F1A}"/>
            </a:ext>
          </a:extLst>
        </xdr:cNvPr>
        <xdr:cNvSpPr>
          <a:spLocks noChangeArrowheads="1"/>
        </xdr:cNvSpPr>
      </xdr:nvSpPr>
      <xdr:spPr bwMode="auto">
        <a:xfrm>
          <a:off x="3781425" y="3143250"/>
          <a:ext cx="142875" cy="1428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57150</xdr:colOff>
      <xdr:row>17</xdr:row>
      <xdr:rowOff>57150</xdr:rowOff>
    </xdr:from>
    <xdr:to>
      <xdr:col>5</xdr:col>
      <xdr:colOff>200025</xdr:colOff>
      <xdr:row>17</xdr:row>
      <xdr:rowOff>200025</xdr:rowOff>
    </xdr:to>
    <xdr:sp macro="" textlink="">
      <xdr:nvSpPr>
        <xdr:cNvPr id="13" name="Rectangle 16">
          <a:extLst>
            <a:ext uri="{FF2B5EF4-FFF2-40B4-BE49-F238E27FC236}">
              <a16:creationId xmlns:a16="http://schemas.microsoft.com/office/drawing/2014/main" id="{D6EB6A18-DF6D-496F-AB8D-FC90C5A9754A}"/>
            </a:ext>
          </a:extLst>
        </xdr:cNvPr>
        <xdr:cNvSpPr>
          <a:spLocks noChangeArrowheads="1"/>
        </xdr:cNvSpPr>
      </xdr:nvSpPr>
      <xdr:spPr bwMode="auto">
        <a:xfrm>
          <a:off x="4038600" y="3143250"/>
          <a:ext cx="142875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57150</xdr:colOff>
      <xdr:row>17</xdr:row>
      <xdr:rowOff>57150</xdr:rowOff>
    </xdr:from>
    <xdr:to>
      <xdr:col>6</xdr:col>
      <xdr:colOff>200025</xdr:colOff>
      <xdr:row>17</xdr:row>
      <xdr:rowOff>200025</xdr:rowOff>
    </xdr:to>
    <xdr:grpSp>
      <xdr:nvGrpSpPr>
        <xdr:cNvPr id="14" name="Group 17">
          <a:extLst>
            <a:ext uri="{FF2B5EF4-FFF2-40B4-BE49-F238E27FC236}">
              <a16:creationId xmlns:a16="http://schemas.microsoft.com/office/drawing/2014/main" id="{3E6B5B7E-945B-4DDD-A147-1C4F59B55FDA}"/>
            </a:ext>
          </a:extLst>
        </xdr:cNvPr>
        <xdr:cNvGrpSpPr>
          <a:grpSpLocks/>
        </xdr:cNvGrpSpPr>
      </xdr:nvGrpSpPr>
      <xdr:grpSpPr bwMode="auto">
        <a:xfrm>
          <a:off x="4857750" y="3501390"/>
          <a:ext cx="142875" cy="142875"/>
          <a:chOff x="728" y="203"/>
          <a:chExt cx="21" cy="21"/>
        </a:xfrm>
      </xdr:grpSpPr>
      <xdr:sp macro="" textlink="">
        <xdr:nvSpPr>
          <xdr:cNvPr id="15" name="Rectangle 18">
            <a:extLst>
              <a:ext uri="{FF2B5EF4-FFF2-40B4-BE49-F238E27FC236}">
                <a16:creationId xmlns:a16="http://schemas.microsoft.com/office/drawing/2014/main" id="{D446611C-AB37-4853-9728-882184856E6F}"/>
              </a:ext>
            </a:extLst>
          </xdr:cNvPr>
          <xdr:cNvSpPr>
            <a:spLocks noChangeArrowheads="1"/>
          </xdr:cNvSpPr>
        </xdr:nvSpPr>
        <xdr:spPr bwMode="auto">
          <a:xfrm>
            <a:off x="728" y="203"/>
            <a:ext cx="21" cy="21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6" name="Oval 19">
            <a:extLst>
              <a:ext uri="{FF2B5EF4-FFF2-40B4-BE49-F238E27FC236}">
                <a16:creationId xmlns:a16="http://schemas.microsoft.com/office/drawing/2014/main" id="{9B656CF8-21A1-4F93-BD06-71FCFDABB6A0}"/>
              </a:ext>
            </a:extLst>
          </xdr:cNvPr>
          <xdr:cNvSpPr>
            <a:spLocks noChangeArrowheads="1"/>
          </xdr:cNvSpPr>
        </xdr:nvSpPr>
        <xdr:spPr bwMode="auto">
          <a:xfrm>
            <a:off x="732" y="207"/>
            <a:ext cx="13" cy="13"/>
          </a:xfrm>
          <a:prstGeom prst="ellipse">
            <a:avLst/>
          </a:prstGeom>
          <a:solidFill>
            <a:srgbClr val="FFFFFF"/>
          </a:solidFill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7</xdr:col>
      <xdr:colOff>57150</xdr:colOff>
      <xdr:row>17</xdr:row>
      <xdr:rowOff>76200</xdr:rowOff>
    </xdr:from>
    <xdr:to>
      <xdr:col>7</xdr:col>
      <xdr:colOff>200025</xdr:colOff>
      <xdr:row>17</xdr:row>
      <xdr:rowOff>180975</xdr:rowOff>
    </xdr:to>
    <xdr:sp macro="" textlink="">
      <xdr:nvSpPr>
        <xdr:cNvPr id="17" name="AutoShape 20">
          <a:extLst>
            <a:ext uri="{FF2B5EF4-FFF2-40B4-BE49-F238E27FC236}">
              <a16:creationId xmlns:a16="http://schemas.microsoft.com/office/drawing/2014/main" id="{7E2DB478-EFEF-4555-8C08-7E5C448733FB}"/>
            </a:ext>
          </a:extLst>
        </xdr:cNvPr>
        <xdr:cNvSpPr>
          <a:spLocks noChangeArrowheads="1"/>
        </xdr:cNvSpPr>
      </xdr:nvSpPr>
      <xdr:spPr bwMode="auto">
        <a:xfrm>
          <a:off x="4552950" y="3162300"/>
          <a:ext cx="142875" cy="104775"/>
        </a:xfrm>
        <a:prstGeom prst="rightArrow">
          <a:avLst>
            <a:gd name="adj1" fmla="val 50000"/>
            <a:gd name="adj2" fmla="val 3409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66675</xdr:colOff>
      <xdr:row>17</xdr:row>
      <xdr:rowOff>57150</xdr:rowOff>
    </xdr:from>
    <xdr:to>
      <xdr:col>9</xdr:col>
      <xdr:colOff>190500</xdr:colOff>
      <xdr:row>17</xdr:row>
      <xdr:rowOff>200025</xdr:rowOff>
    </xdr:to>
    <xdr:grpSp>
      <xdr:nvGrpSpPr>
        <xdr:cNvPr id="18" name="Group 21">
          <a:extLst>
            <a:ext uri="{FF2B5EF4-FFF2-40B4-BE49-F238E27FC236}">
              <a16:creationId xmlns:a16="http://schemas.microsoft.com/office/drawing/2014/main" id="{E022C522-8583-43F4-9F93-D4538EDC0E57}"/>
            </a:ext>
          </a:extLst>
        </xdr:cNvPr>
        <xdr:cNvGrpSpPr>
          <a:grpSpLocks/>
        </xdr:cNvGrpSpPr>
      </xdr:nvGrpSpPr>
      <xdr:grpSpPr bwMode="auto">
        <a:xfrm>
          <a:off x="5644515" y="3501390"/>
          <a:ext cx="123825" cy="142875"/>
          <a:chOff x="751" y="119"/>
          <a:chExt cx="77" cy="91"/>
        </a:xfrm>
      </xdr:grpSpPr>
      <xdr:sp macro="" textlink="">
        <xdr:nvSpPr>
          <xdr:cNvPr id="19" name="Line 22">
            <a:extLst>
              <a:ext uri="{FF2B5EF4-FFF2-40B4-BE49-F238E27FC236}">
                <a16:creationId xmlns:a16="http://schemas.microsoft.com/office/drawing/2014/main" id="{4A76CD09-6018-4E5C-AC02-825EB945CF0A}"/>
              </a:ext>
            </a:extLst>
          </xdr:cNvPr>
          <xdr:cNvSpPr>
            <a:spLocks noChangeShapeType="1"/>
          </xdr:cNvSpPr>
        </xdr:nvSpPr>
        <xdr:spPr bwMode="auto">
          <a:xfrm>
            <a:off x="751" y="119"/>
            <a:ext cx="7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" name="Line 23">
            <a:extLst>
              <a:ext uri="{FF2B5EF4-FFF2-40B4-BE49-F238E27FC236}">
                <a16:creationId xmlns:a16="http://schemas.microsoft.com/office/drawing/2014/main" id="{EE3FF359-945A-492A-892E-D8EA0F7C4893}"/>
              </a:ext>
            </a:extLst>
          </xdr:cNvPr>
          <xdr:cNvSpPr>
            <a:spLocks noChangeShapeType="1"/>
          </xdr:cNvSpPr>
        </xdr:nvSpPr>
        <xdr:spPr bwMode="auto">
          <a:xfrm>
            <a:off x="751" y="120"/>
            <a:ext cx="38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" name="Line 24">
            <a:extLst>
              <a:ext uri="{FF2B5EF4-FFF2-40B4-BE49-F238E27FC236}">
                <a16:creationId xmlns:a16="http://schemas.microsoft.com/office/drawing/2014/main" id="{6AF3DEB1-2B0C-414F-BCF0-5E5C48587141}"/>
              </a:ext>
            </a:extLst>
          </xdr:cNvPr>
          <xdr:cNvSpPr>
            <a:spLocks noChangeShapeType="1"/>
          </xdr:cNvSpPr>
        </xdr:nvSpPr>
        <xdr:spPr bwMode="auto">
          <a:xfrm flipH="1">
            <a:off x="791" y="119"/>
            <a:ext cx="37" cy="9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4</xdr:col>
      <xdr:colOff>150813</xdr:colOff>
      <xdr:row>18</xdr:row>
      <xdr:rowOff>95250</xdr:rowOff>
    </xdr:from>
    <xdr:to>
      <xdr:col>7</xdr:col>
      <xdr:colOff>142875</xdr:colOff>
      <xdr:row>19</xdr:row>
      <xdr:rowOff>79375</xdr:rowOff>
    </xdr:to>
    <xdr:cxnSp macro="">
      <xdr:nvCxnSpPr>
        <xdr:cNvPr id="22" name="13 Conector recto">
          <a:extLst>
            <a:ext uri="{FF2B5EF4-FFF2-40B4-BE49-F238E27FC236}">
              <a16:creationId xmlns:a16="http://schemas.microsoft.com/office/drawing/2014/main" id="{2D30AD7A-9167-48D5-B5DC-0F18BAD6F54B}"/>
            </a:ext>
          </a:extLst>
        </xdr:cNvPr>
        <xdr:cNvCxnSpPr/>
      </xdr:nvCxnSpPr>
      <xdr:spPr>
        <a:xfrm flipH="1">
          <a:off x="4637088" y="3429000"/>
          <a:ext cx="763587" cy="1460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139211</xdr:colOff>
      <xdr:row>19</xdr:row>
      <xdr:rowOff>73269</xdr:rowOff>
    </xdr:from>
    <xdr:to>
      <xdr:col>4</xdr:col>
      <xdr:colOff>142875</xdr:colOff>
      <xdr:row>20</xdr:row>
      <xdr:rowOff>71438</xdr:rowOff>
    </xdr:to>
    <xdr:cxnSp macro="">
      <xdr:nvCxnSpPr>
        <xdr:cNvPr id="23" name="15 Conector recto">
          <a:extLst>
            <a:ext uri="{FF2B5EF4-FFF2-40B4-BE49-F238E27FC236}">
              <a16:creationId xmlns:a16="http://schemas.microsoft.com/office/drawing/2014/main" id="{4DFEF2B8-F55C-4B0F-84AB-65A7E13BED98}"/>
            </a:ext>
          </a:extLst>
        </xdr:cNvPr>
        <xdr:cNvCxnSpPr/>
      </xdr:nvCxnSpPr>
      <xdr:spPr>
        <a:xfrm>
          <a:off x="4623899" y="3565769"/>
          <a:ext cx="3664" cy="15691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139211</xdr:colOff>
      <xdr:row>20</xdr:row>
      <xdr:rowOff>58616</xdr:rowOff>
    </xdr:from>
    <xdr:to>
      <xdr:col>4</xdr:col>
      <xdr:colOff>142875</xdr:colOff>
      <xdr:row>21</xdr:row>
      <xdr:rowOff>222250</xdr:rowOff>
    </xdr:to>
    <xdr:cxnSp macro="">
      <xdr:nvCxnSpPr>
        <xdr:cNvPr id="24" name="17 Conector recto">
          <a:extLst>
            <a:ext uri="{FF2B5EF4-FFF2-40B4-BE49-F238E27FC236}">
              <a16:creationId xmlns:a16="http://schemas.microsoft.com/office/drawing/2014/main" id="{E44CDD23-C9A2-4CDD-ABA1-F0B84C622D08}"/>
            </a:ext>
          </a:extLst>
        </xdr:cNvPr>
        <xdr:cNvCxnSpPr/>
      </xdr:nvCxnSpPr>
      <xdr:spPr>
        <a:xfrm>
          <a:off x="4623899" y="3709866"/>
          <a:ext cx="3664" cy="32238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142875</xdr:colOff>
      <xdr:row>21</xdr:row>
      <xdr:rowOff>230188</xdr:rowOff>
    </xdr:from>
    <xdr:to>
      <xdr:col>4</xdr:col>
      <xdr:colOff>146538</xdr:colOff>
      <xdr:row>22</xdr:row>
      <xdr:rowOff>80596</xdr:rowOff>
    </xdr:to>
    <xdr:cxnSp macro="">
      <xdr:nvCxnSpPr>
        <xdr:cNvPr id="25" name="19 Conector recto">
          <a:extLst>
            <a:ext uri="{FF2B5EF4-FFF2-40B4-BE49-F238E27FC236}">
              <a16:creationId xmlns:a16="http://schemas.microsoft.com/office/drawing/2014/main" id="{88334CC8-4C8D-425D-9BDA-B051F5E34AFD}"/>
            </a:ext>
          </a:extLst>
        </xdr:cNvPr>
        <xdr:cNvCxnSpPr/>
      </xdr:nvCxnSpPr>
      <xdr:spPr>
        <a:xfrm>
          <a:off x="4627563" y="4040188"/>
          <a:ext cx="3663" cy="29490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150812</xdr:colOff>
      <xdr:row>22</xdr:row>
      <xdr:rowOff>79375</xdr:rowOff>
    </xdr:from>
    <xdr:to>
      <xdr:col>5</xdr:col>
      <xdr:colOff>142875</xdr:colOff>
      <xdr:row>23</xdr:row>
      <xdr:rowOff>161925</xdr:rowOff>
    </xdr:to>
    <xdr:cxnSp macro="">
      <xdr:nvCxnSpPr>
        <xdr:cNvPr id="26" name="21 Conector recto">
          <a:extLst>
            <a:ext uri="{FF2B5EF4-FFF2-40B4-BE49-F238E27FC236}">
              <a16:creationId xmlns:a16="http://schemas.microsoft.com/office/drawing/2014/main" id="{FFD91327-356C-4D68-849D-22BCFAE89908}"/>
            </a:ext>
          </a:extLst>
        </xdr:cNvPr>
        <xdr:cNvCxnSpPr/>
      </xdr:nvCxnSpPr>
      <xdr:spPr>
        <a:xfrm>
          <a:off x="4637087" y="4346575"/>
          <a:ext cx="249238" cy="2444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161925</xdr:colOff>
      <xdr:row>23</xdr:row>
      <xdr:rowOff>161925</xdr:rowOff>
    </xdr:from>
    <xdr:to>
      <xdr:col>7</xdr:col>
      <xdr:colOff>150812</xdr:colOff>
      <xdr:row>24</xdr:row>
      <xdr:rowOff>79375</xdr:rowOff>
    </xdr:to>
    <xdr:cxnSp macro="">
      <xdr:nvCxnSpPr>
        <xdr:cNvPr id="27" name="24 Conector recto">
          <a:extLst>
            <a:ext uri="{FF2B5EF4-FFF2-40B4-BE49-F238E27FC236}">
              <a16:creationId xmlns:a16="http://schemas.microsoft.com/office/drawing/2014/main" id="{E1EB34D4-469D-4F8E-A778-59DA2D653161}"/>
            </a:ext>
          </a:extLst>
        </xdr:cNvPr>
        <xdr:cNvCxnSpPr/>
      </xdr:nvCxnSpPr>
      <xdr:spPr>
        <a:xfrm>
          <a:off x="4905375" y="4591050"/>
          <a:ext cx="503237" cy="2317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146539</xdr:colOff>
      <xdr:row>25</xdr:row>
      <xdr:rowOff>79375</xdr:rowOff>
    </xdr:from>
    <xdr:to>
      <xdr:col>4</xdr:col>
      <xdr:colOff>150812</xdr:colOff>
      <xdr:row>26</xdr:row>
      <xdr:rowOff>73269</xdr:rowOff>
    </xdr:to>
    <xdr:cxnSp macro="">
      <xdr:nvCxnSpPr>
        <xdr:cNvPr id="28" name="26 Conector recto">
          <a:extLst>
            <a:ext uri="{FF2B5EF4-FFF2-40B4-BE49-F238E27FC236}">
              <a16:creationId xmlns:a16="http://schemas.microsoft.com/office/drawing/2014/main" id="{1CED1A96-670A-4449-9853-6B62C8CC0809}"/>
            </a:ext>
          </a:extLst>
        </xdr:cNvPr>
        <xdr:cNvCxnSpPr/>
      </xdr:nvCxnSpPr>
      <xdr:spPr>
        <a:xfrm flipH="1">
          <a:off x="4631227" y="4810125"/>
          <a:ext cx="4273" cy="15264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150812</xdr:colOff>
      <xdr:row>26</xdr:row>
      <xdr:rowOff>87313</xdr:rowOff>
    </xdr:from>
    <xdr:to>
      <xdr:col>5</xdr:col>
      <xdr:colOff>146538</xdr:colOff>
      <xdr:row>27</xdr:row>
      <xdr:rowOff>73269</xdr:rowOff>
    </xdr:to>
    <xdr:cxnSp macro="">
      <xdr:nvCxnSpPr>
        <xdr:cNvPr id="29" name="28 Conector recto">
          <a:extLst>
            <a:ext uri="{FF2B5EF4-FFF2-40B4-BE49-F238E27FC236}">
              <a16:creationId xmlns:a16="http://schemas.microsoft.com/office/drawing/2014/main" id="{E22AFACD-9CB2-4EA5-AE1C-4A4751F7465F}"/>
            </a:ext>
          </a:extLst>
        </xdr:cNvPr>
        <xdr:cNvCxnSpPr/>
      </xdr:nvCxnSpPr>
      <xdr:spPr>
        <a:xfrm>
          <a:off x="4635500" y="4976813"/>
          <a:ext cx="249726" cy="1447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158750</xdr:colOff>
      <xdr:row>27</xdr:row>
      <xdr:rowOff>79375</xdr:rowOff>
    </xdr:from>
    <xdr:to>
      <xdr:col>7</xdr:col>
      <xdr:colOff>142875</xdr:colOff>
      <xdr:row>28</xdr:row>
      <xdr:rowOff>79375</xdr:rowOff>
    </xdr:to>
    <xdr:cxnSp macro="">
      <xdr:nvCxnSpPr>
        <xdr:cNvPr id="30" name="30 Conector recto">
          <a:extLst>
            <a:ext uri="{FF2B5EF4-FFF2-40B4-BE49-F238E27FC236}">
              <a16:creationId xmlns:a16="http://schemas.microsoft.com/office/drawing/2014/main" id="{66908B3B-A312-4F4D-9B4D-E78E8BC5D3DD}"/>
            </a:ext>
          </a:extLst>
        </xdr:cNvPr>
        <xdr:cNvCxnSpPr/>
      </xdr:nvCxnSpPr>
      <xdr:spPr>
        <a:xfrm>
          <a:off x="4897438" y="5127625"/>
          <a:ext cx="492125" cy="1587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158750</xdr:colOff>
      <xdr:row>28</xdr:row>
      <xdr:rowOff>65942</xdr:rowOff>
    </xdr:from>
    <xdr:to>
      <xdr:col>7</xdr:col>
      <xdr:colOff>146540</xdr:colOff>
      <xdr:row>29</xdr:row>
      <xdr:rowOff>142875</xdr:rowOff>
    </xdr:to>
    <xdr:cxnSp macro="">
      <xdr:nvCxnSpPr>
        <xdr:cNvPr id="31" name="1184 Conector recto">
          <a:extLst>
            <a:ext uri="{FF2B5EF4-FFF2-40B4-BE49-F238E27FC236}">
              <a16:creationId xmlns:a16="http://schemas.microsoft.com/office/drawing/2014/main" id="{1746240C-051E-4EF6-8600-1EB57D0847A4}"/>
            </a:ext>
          </a:extLst>
        </xdr:cNvPr>
        <xdr:cNvCxnSpPr/>
      </xdr:nvCxnSpPr>
      <xdr:spPr>
        <a:xfrm flipH="1">
          <a:off x="4643438" y="5272942"/>
          <a:ext cx="749790" cy="2356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142875</xdr:colOff>
      <xdr:row>29</xdr:row>
      <xdr:rowOff>142875</xdr:rowOff>
    </xdr:from>
    <xdr:to>
      <xdr:col>4</xdr:col>
      <xdr:colOff>142875</xdr:colOff>
      <xdr:row>30</xdr:row>
      <xdr:rowOff>87313</xdr:rowOff>
    </xdr:to>
    <xdr:cxnSp macro="">
      <xdr:nvCxnSpPr>
        <xdr:cNvPr id="32" name="1186 Conector recto">
          <a:extLst>
            <a:ext uri="{FF2B5EF4-FFF2-40B4-BE49-F238E27FC236}">
              <a16:creationId xmlns:a16="http://schemas.microsoft.com/office/drawing/2014/main" id="{5532B4C1-F3F1-4907-BB7F-67709EDA7EB6}"/>
            </a:ext>
          </a:extLst>
        </xdr:cNvPr>
        <xdr:cNvCxnSpPr/>
      </xdr:nvCxnSpPr>
      <xdr:spPr>
        <a:xfrm>
          <a:off x="4627563" y="5508625"/>
          <a:ext cx="0" cy="23018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150812</xdr:colOff>
      <xdr:row>30</xdr:row>
      <xdr:rowOff>87313</xdr:rowOff>
    </xdr:from>
    <xdr:to>
      <xdr:col>5</xdr:col>
      <xdr:colOff>139211</xdr:colOff>
      <xdr:row>31</xdr:row>
      <xdr:rowOff>73269</xdr:rowOff>
    </xdr:to>
    <xdr:cxnSp macro="">
      <xdr:nvCxnSpPr>
        <xdr:cNvPr id="33" name="1188 Conector recto">
          <a:extLst>
            <a:ext uri="{FF2B5EF4-FFF2-40B4-BE49-F238E27FC236}">
              <a16:creationId xmlns:a16="http://schemas.microsoft.com/office/drawing/2014/main" id="{C31567F5-3A3A-4D94-AFDF-34C05F02BAFD}"/>
            </a:ext>
          </a:extLst>
        </xdr:cNvPr>
        <xdr:cNvCxnSpPr/>
      </xdr:nvCxnSpPr>
      <xdr:spPr>
        <a:xfrm>
          <a:off x="4635500" y="5738813"/>
          <a:ext cx="242399" cy="1447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158750</xdr:colOff>
      <xdr:row>31</xdr:row>
      <xdr:rowOff>87313</xdr:rowOff>
    </xdr:from>
    <xdr:to>
      <xdr:col>7</xdr:col>
      <xdr:colOff>139211</xdr:colOff>
      <xdr:row>32</xdr:row>
      <xdr:rowOff>73269</xdr:rowOff>
    </xdr:to>
    <xdr:cxnSp macro="">
      <xdr:nvCxnSpPr>
        <xdr:cNvPr id="34" name="1210 Conector recto">
          <a:extLst>
            <a:ext uri="{FF2B5EF4-FFF2-40B4-BE49-F238E27FC236}">
              <a16:creationId xmlns:a16="http://schemas.microsoft.com/office/drawing/2014/main" id="{D71D2BBD-020A-4433-A666-3F59FB05CD6E}"/>
            </a:ext>
          </a:extLst>
        </xdr:cNvPr>
        <xdr:cNvCxnSpPr/>
      </xdr:nvCxnSpPr>
      <xdr:spPr>
        <a:xfrm>
          <a:off x="4897438" y="5897563"/>
          <a:ext cx="488461" cy="144706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150812</xdr:colOff>
      <xdr:row>24</xdr:row>
      <xdr:rowOff>87313</xdr:rowOff>
    </xdr:from>
    <xdr:to>
      <xdr:col>7</xdr:col>
      <xdr:colOff>158750</xdr:colOff>
      <xdr:row>25</xdr:row>
      <xdr:rowOff>79375</xdr:rowOff>
    </xdr:to>
    <xdr:cxnSp macro="">
      <xdr:nvCxnSpPr>
        <xdr:cNvPr id="37" name="4 Conector recto">
          <a:extLst>
            <a:ext uri="{FF2B5EF4-FFF2-40B4-BE49-F238E27FC236}">
              <a16:creationId xmlns:a16="http://schemas.microsoft.com/office/drawing/2014/main" id="{72E899D6-87D7-4F3C-8612-B04EA25D0B92}"/>
            </a:ext>
          </a:extLst>
        </xdr:cNvPr>
        <xdr:cNvCxnSpPr/>
      </xdr:nvCxnSpPr>
      <xdr:spPr>
        <a:xfrm flipH="1">
          <a:off x="4635500" y="4659313"/>
          <a:ext cx="769938" cy="15081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150812</xdr:colOff>
      <xdr:row>32</xdr:row>
      <xdr:rowOff>87313</xdr:rowOff>
    </xdr:from>
    <xdr:to>
      <xdr:col>9</xdr:col>
      <xdr:colOff>150812</xdr:colOff>
      <xdr:row>33</xdr:row>
      <xdr:rowOff>71438</xdr:rowOff>
    </xdr:to>
    <xdr:cxnSp macro="">
      <xdr:nvCxnSpPr>
        <xdr:cNvPr id="58" name="1210 Conector recto">
          <a:extLst>
            <a:ext uri="{FF2B5EF4-FFF2-40B4-BE49-F238E27FC236}">
              <a16:creationId xmlns:a16="http://schemas.microsoft.com/office/drawing/2014/main" id="{6B3EA5A2-A52F-401B-A569-2B23B726052F}"/>
            </a:ext>
          </a:extLst>
        </xdr:cNvPr>
        <xdr:cNvCxnSpPr/>
      </xdr:nvCxnSpPr>
      <xdr:spPr>
        <a:xfrm>
          <a:off x="5397500" y="6056313"/>
          <a:ext cx="508000" cy="1428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</xdr:row>
      <xdr:rowOff>9525</xdr:rowOff>
    </xdr:from>
    <xdr:to>
      <xdr:col>1</xdr:col>
      <xdr:colOff>1464000</xdr:colOff>
      <xdr:row>4</xdr:row>
      <xdr:rowOff>138374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F2E130EF-3EFE-45B6-A83A-BEC6B893BB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68" t="75510" r="14997"/>
        <a:stretch/>
      </xdr:blipFill>
      <xdr:spPr>
        <a:xfrm>
          <a:off x="0" y="171450"/>
          <a:ext cx="2988000" cy="671774"/>
        </a:xfrm>
        <a:prstGeom prst="rect">
          <a:avLst/>
        </a:prstGeom>
      </xdr:spPr>
    </xdr:pic>
    <xdr:clientData/>
  </xdr:twoCellAnchor>
  <xdr:twoCellAnchor editAs="oneCell">
    <xdr:from>
      <xdr:col>2</xdr:col>
      <xdr:colOff>590556</xdr:colOff>
      <xdr:row>1</xdr:row>
      <xdr:rowOff>19050</xdr:rowOff>
    </xdr:from>
    <xdr:to>
      <xdr:col>5</xdr:col>
      <xdr:colOff>222122</xdr:colOff>
      <xdr:row>4</xdr:row>
      <xdr:rowOff>160125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61B546CE-7413-4396-ABD1-342890AD29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577" r="10247" b="28571"/>
        <a:stretch/>
      </xdr:blipFill>
      <xdr:spPr>
        <a:xfrm>
          <a:off x="3638556" y="180975"/>
          <a:ext cx="1121276" cy="68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</xdr:row>
      <xdr:rowOff>19050</xdr:rowOff>
    </xdr:from>
    <xdr:to>
      <xdr:col>3</xdr:col>
      <xdr:colOff>587700</xdr:colOff>
      <xdr:row>4</xdr:row>
      <xdr:rowOff>128849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342FC48-7BEC-4E44-884B-C59B459A9B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68" t="75510" r="14997"/>
        <a:stretch/>
      </xdr:blipFill>
      <xdr:spPr>
        <a:xfrm>
          <a:off x="142875" y="200025"/>
          <a:ext cx="2988000" cy="671774"/>
        </a:xfrm>
        <a:prstGeom prst="rect">
          <a:avLst/>
        </a:prstGeom>
      </xdr:spPr>
    </xdr:pic>
    <xdr:clientData/>
  </xdr:twoCellAnchor>
  <xdr:twoCellAnchor editAs="oneCell">
    <xdr:from>
      <xdr:col>4</xdr:col>
      <xdr:colOff>180975</xdr:colOff>
      <xdr:row>1</xdr:row>
      <xdr:rowOff>28575</xdr:rowOff>
    </xdr:from>
    <xdr:to>
      <xdr:col>5</xdr:col>
      <xdr:colOff>464051</xdr:colOff>
      <xdr:row>4</xdr:row>
      <xdr:rowOff>150600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6A045BB-9E3B-4913-9BC0-5F99610493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577" r="10247" b="28571"/>
        <a:stretch/>
      </xdr:blipFill>
      <xdr:spPr>
        <a:xfrm>
          <a:off x="3533775" y="209550"/>
          <a:ext cx="1121276" cy="684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396239</xdr:colOff>
      <xdr:row>75</xdr:row>
      <xdr:rowOff>129540</xdr:rowOff>
    </xdr:from>
    <xdr:to>
      <xdr:col>12</xdr:col>
      <xdr:colOff>828674</xdr:colOff>
      <xdr:row>100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6EFE79-AFB2-4AB8-ADB6-0CB3D87AB2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0.55977</cdr:x>
      <cdr:y>0.60839</cdr:y>
    </cdr:from>
    <cdr:to>
      <cdr:x>0.55977</cdr:x>
      <cdr:y>0.90776</cdr:y>
    </cdr:to>
    <cdr:cxnSp macro="">
      <cdr:nvCxnSpPr>
        <cdr:cNvPr id="3" name="Conector recto 2">
          <a:extLst xmlns:a="http://schemas.openxmlformats.org/drawingml/2006/main">
            <a:ext uri="{FF2B5EF4-FFF2-40B4-BE49-F238E27FC236}">
              <a16:creationId xmlns:a16="http://schemas.microsoft.com/office/drawing/2014/main" id="{E002FA74-AB36-4AA4-8374-06A52AA948F1}"/>
            </a:ext>
          </a:extLst>
        </cdr:cNvPr>
        <cdr:cNvCxnSpPr/>
      </cdr:nvCxnSpPr>
      <cdr:spPr>
        <a:xfrm xmlns:a="http://schemas.openxmlformats.org/drawingml/2006/main" flipV="1">
          <a:off x="5595186" y="2926442"/>
          <a:ext cx="0" cy="1440000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0.53632</cdr:x>
      <cdr:y>0.34545</cdr:y>
    </cdr:from>
    <cdr:to>
      <cdr:x>0.60872</cdr:x>
      <cdr:y>0.34559</cdr:y>
    </cdr:to>
    <cdr:cxnSp macro="">
      <cdr:nvCxnSpPr>
        <cdr:cNvPr id="4" name="Conector recto 3">
          <a:extLst xmlns:a="http://schemas.openxmlformats.org/drawingml/2006/main">
            <a:ext uri="{FF2B5EF4-FFF2-40B4-BE49-F238E27FC236}">
              <a16:creationId xmlns:a16="http://schemas.microsoft.com/office/drawing/2014/main" id="{DB343159-4F59-4E34-80E6-2858AE562C31}"/>
            </a:ext>
          </a:extLst>
        </cdr:cNvPr>
        <cdr:cNvCxnSpPr/>
      </cdr:nvCxnSpPr>
      <cdr:spPr>
        <a:xfrm xmlns:a="http://schemas.openxmlformats.org/drawingml/2006/main" flipH="1" flipV="1">
          <a:off x="4556760" y="1592580"/>
          <a:ext cx="615129" cy="639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0.62601</cdr:x>
      <cdr:y>0.3124</cdr:y>
    </cdr:from>
    <cdr:to>
      <cdr:x>0.87534</cdr:x>
      <cdr:y>0.3719</cdr:y>
    </cdr:to>
    <cdr:sp macro="" textlink="">
      <cdr:nvSpPr>
        <cdr:cNvPr id="7" name="CuadroTexto 6">
          <a:extLst xmlns:a="http://schemas.openxmlformats.org/drawingml/2006/main">
            <a:ext uri="{FF2B5EF4-FFF2-40B4-BE49-F238E27FC236}">
              <a16:creationId xmlns:a16="http://schemas.microsoft.com/office/drawing/2014/main" id="{440616BD-212D-4534-B365-BC609F3A3927}"/>
            </a:ext>
          </a:extLst>
        </cdr:cNvPr>
        <cdr:cNvSpPr txBox="1"/>
      </cdr:nvSpPr>
      <cdr:spPr>
        <a:xfrm xmlns:a="http://schemas.openxmlformats.org/drawingml/2006/main">
          <a:off x="5318760" y="1440180"/>
          <a:ext cx="2118360" cy="274320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AR" sz="1200"/>
            <a:t>TMAR</a:t>
          </a:r>
          <a:endParaRPr lang="es-AR" sz="1100"/>
        </a:p>
      </cdr:txBody>
    </cdr:sp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00"/>
  <sheetViews>
    <sheetView workbookViewId="0">
      <selection activeCell="G6" sqref="G6"/>
    </sheetView>
  </sheetViews>
  <sheetFormatPr baseColWidth="10" defaultColWidth="12.59765625" defaultRowHeight="15" customHeight="1" x14ac:dyDescent="0.3"/>
  <cols>
    <col min="1" max="1" width="9.3984375" style="487" customWidth="1"/>
    <col min="2" max="2" width="32.3984375" style="487" customWidth="1"/>
    <col min="3" max="3" width="18.59765625" style="487" bestFit="1" customWidth="1"/>
    <col min="4" max="4" width="11.5" style="487" customWidth="1"/>
    <col min="5" max="5" width="13.09765625" style="487" customWidth="1"/>
    <col min="6" max="6" width="9.3984375" style="487" customWidth="1"/>
    <col min="7" max="7" width="19" style="487" bestFit="1" customWidth="1"/>
    <col min="8" max="8" width="12.8984375" style="487" customWidth="1"/>
    <col min="9" max="27" width="9.3984375" style="487" customWidth="1"/>
    <col min="28" max="16384" width="12.59765625" style="487"/>
  </cols>
  <sheetData>
    <row r="1" spans="1:9" ht="14.25" customHeight="1" x14ac:dyDescent="0.3"/>
    <row r="2" spans="1:9" ht="14.25" customHeight="1" x14ac:dyDescent="0.3">
      <c r="B2" s="488" t="s">
        <v>0</v>
      </c>
      <c r="C2" s="489" t="s">
        <v>3</v>
      </c>
      <c r="D2" s="490" t="s">
        <v>486</v>
      </c>
      <c r="E2" s="489" t="s">
        <v>4</v>
      </c>
    </row>
    <row r="3" spans="1:9" ht="14.25" customHeight="1" x14ac:dyDescent="0.3">
      <c r="B3" s="491" t="s">
        <v>5</v>
      </c>
      <c r="C3" s="492">
        <v>0.65162249999999999</v>
      </c>
      <c r="D3" s="493">
        <v>1</v>
      </c>
      <c r="E3" s="494" t="s">
        <v>6</v>
      </c>
    </row>
    <row r="4" spans="1:9" ht="14.25" customHeight="1" x14ac:dyDescent="0.3">
      <c r="B4" s="491" t="s">
        <v>7</v>
      </c>
      <c r="C4" s="495">
        <f>C3*D4</f>
        <v>3.2581125000000002E-2</v>
      </c>
      <c r="D4" s="493">
        <v>0.05</v>
      </c>
      <c r="E4" s="494" t="s">
        <v>6</v>
      </c>
      <c r="G4" s="496" t="s">
        <v>3</v>
      </c>
      <c r="H4" s="489" t="s">
        <v>4</v>
      </c>
    </row>
    <row r="5" spans="1:9" ht="14.25" customHeight="1" x14ac:dyDescent="0.3">
      <c r="B5" s="491" t="s">
        <v>488</v>
      </c>
      <c r="C5" s="497">
        <v>13727273</v>
      </c>
      <c r="D5" s="493">
        <v>1</v>
      </c>
      <c r="E5" s="494" t="s">
        <v>409</v>
      </c>
      <c r="G5" s="498">
        <f>C11</f>
        <v>28.751785554993749</v>
      </c>
      <c r="H5" s="494" t="s">
        <v>13</v>
      </c>
    </row>
    <row r="6" spans="1:9" ht="14.25" customHeight="1" x14ac:dyDescent="0.3">
      <c r="B6" s="499" t="s">
        <v>487</v>
      </c>
      <c r="C6" s="497">
        <f>C4*C5</f>
        <v>447249.99752212502</v>
      </c>
      <c r="D6" s="493">
        <v>1</v>
      </c>
      <c r="E6" s="500" t="s">
        <v>6</v>
      </c>
      <c r="G6" s="498">
        <f>G5/12</f>
        <v>2.3959821295828125</v>
      </c>
      <c r="H6" s="494" t="s">
        <v>15</v>
      </c>
    </row>
    <row r="7" spans="1:9" ht="14.25" customHeight="1" x14ac:dyDescent="0.3">
      <c r="B7" s="491" t="s">
        <v>489</v>
      </c>
      <c r="C7" s="497">
        <f>C6*D7</f>
        <v>201262.49888495627</v>
      </c>
      <c r="D7" s="493">
        <v>0.45</v>
      </c>
      <c r="E7" s="494" t="s">
        <v>6</v>
      </c>
      <c r="G7" s="498">
        <f>G6*52.5</f>
        <v>125.78906180309765</v>
      </c>
      <c r="H7" s="494" t="s">
        <v>18</v>
      </c>
    </row>
    <row r="8" spans="1:9" ht="14.25" customHeight="1" x14ac:dyDescent="0.3">
      <c r="B8" s="491" t="s">
        <v>16</v>
      </c>
      <c r="C8" s="497">
        <f t="shared" ref="C8:C9" si="0">C7*D8</f>
        <v>50315.624721239066</v>
      </c>
      <c r="D8" s="493">
        <v>0.25</v>
      </c>
      <c r="E8" s="494" t="s">
        <v>6</v>
      </c>
      <c r="G8" s="498">
        <f>G7*12</f>
        <v>1509.4687416371719</v>
      </c>
      <c r="H8" s="494" t="s">
        <v>744</v>
      </c>
    </row>
    <row r="9" spans="1:9" ht="14.25" customHeight="1" x14ac:dyDescent="0.3">
      <c r="B9" s="491" t="s">
        <v>19</v>
      </c>
      <c r="C9" s="497">
        <f t="shared" si="0"/>
        <v>1509.4687416371719</v>
      </c>
      <c r="D9" s="493">
        <v>0.03</v>
      </c>
      <c r="E9" s="494" t="s">
        <v>6</v>
      </c>
    </row>
    <row r="10" spans="1:9" ht="14.25" customHeight="1" x14ac:dyDescent="0.3">
      <c r="B10" s="499" t="s">
        <v>490</v>
      </c>
      <c r="C10" s="501">
        <v>52.5</v>
      </c>
      <c r="D10" s="493"/>
      <c r="E10" s="500" t="s">
        <v>6</v>
      </c>
    </row>
    <row r="11" spans="1:9" ht="14.25" customHeight="1" x14ac:dyDescent="0.3">
      <c r="B11" s="502" t="s">
        <v>22</v>
      </c>
      <c r="C11" s="503">
        <f>C9/C10</f>
        <v>28.751785554993749</v>
      </c>
      <c r="D11" s="504"/>
      <c r="E11" s="505" t="s">
        <v>13</v>
      </c>
    </row>
    <row r="12" spans="1:9" ht="14.25" customHeight="1" x14ac:dyDescent="0.3"/>
    <row r="13" spans="1:9" ht="14.25" customHeight="1" x14ac:dyDescent="0.3">
      <c r="A13" s="506"/>
      <c r="B13" s="506"/>
      <c r="C13" s="506"/>
      <c r="D13" s="506"/>
      <c r="E13" s="506"/>
      <c r="F13" s="506"/>
      <c r="G13" s="506"/>
      <c r="H13" s="506"/>
      <c r="I13" s="506"/>
    </row>
    <row r="14" spans="1:9" ht="14.25" customHeight="1" x14ac:dyDescent="0.3">
      <c r="A14" s="506"/>
      <c r="B14" s="507"/>
      <c r="C14" s="508"/>
      <c r="D14" s="508"/>
      <c r="E14" s="508"/>
      <c r="F14" s="506"/>
      <c r="G14" s="506"/>
      <c r="H14" s="506"/>
      <c r="I14" s="506"/>
    </row>
    <row r="15" spans="1:9" ht="14.25" customHeight="1" x14ac:dyDescent="0.3">
      <c r="A15" s="506"/>
      <c r="B15" s="509"/>
      <c r="C15" s="510"/>
      <c r="D15" s="511"/>
      <c r="E15" s="512"/>
      <c r="F15" s="506"/>
      <c r="G15" s="508"/>
      <c r="H15" s="508"/>
      <c r="I15" s="506"/>
    </row>
    <row r="16" spans="1:9" ht="14.25" customHeight="1" x14ac:dyDescent="0.3">
      <c r="A16" s="506"/>
      <c r="B16" s="509"/>
      <c r="C16" s="513"/>
      <c r="D16" s="511"/>
      <c r="E16" s="512"/>
      <c r="F16" s="506"/>
      <c r="G16" s="514"/>
      <c r="H16" s="512"/>
      <c r="I16" s="506"/>
    </row>
    <row r="17" spans="1:9" ht="14.25" customHeight="1" x14ac:dyDescent="0.3">
      <c r="A17" s="506"/>
      <c r="B17" s="509"/>
      <c r="C17" s="515"/>
      <c r="D17" s="511"/>
      <c r="E17" s="512"/>
      <c r="F17" s="506"/>
      <c r="G17" s="514"/>
      <c r="H17" s="512"/>
      <c r="I17" s="506"/>
    </row>
    <row r="18" spans="1:9" ht="14.25" customHeight="1" x14ac:dyDescent="0.3">
      <c r="A18" s="506"/>
      <c r="B18" s="509"/>
      <c r="C18" s="515"/>
      <c r="D18" s="511"/>
      <c r="E18" s="512"/>
      <c r="F18" s="506"/>
      <c r="G18" s="514"/>
      <c r="H18" s="512"/>
      <c r="I18" s="506"/>
    </row>
    <row r="19" spans="1:9" ht="14.25" customHeight="1" x14ac:dyDescent="0.3">
      <c r="A19" s="506"/>
      <c r="B19" s="509"/>
      <c r="C19" s="515"/>
      <c r="D19" s="511"/>
      <c r="E19" s="512"/>
      <c r="F19" s="506"/>
      <c r="G19" s="506"/>
      <c r="H19" s="506"/>
      <c r="I19" s="506"/>
    </row>
    <row r="20" spans="1:9" ht="14.25" customHeight="1" x14ac:dyDescent="0.3">
      <c r="A20" s="506"/>
      <c r="B20" s="509"/>
      <c r="C20" s="515"/>
      <c r="D20" s="511"/>
      <c r="E20" s="512"/>
      <c r="F20" s="506"/>
      <c r="G20" s="506"/>
      <c r="H20" s="506"/>
      <c r="I20" s="506"/>
    </row>
    <row r="21" spans="1:9" ht="14.25" customHeight="1" x14ac:dyDescent="0.3">
      <c r="A21" s="506"/>
      <c r="B21" s="509"/>
      <c r="C21" s="515"/>
      <c r="D21" s="511"/>
      <c r="E21" s="512"/>
      <c r="F21" s="506"/>
      <c r="G21" s="506"/>
      <c r="H21" s="506"/>
      <c r="I21" s="506"/>
    </row>
    <row r="22" spans="1:9" ht="14.25" customHeight="1" x14ac:dyDescent="0.3">
      <c r="A22" s="506"/>
      <c r="B22" s="509"/>
      <c r="C22" s="516"/>
      <c r="D22" s="511"/>
      <c r="E22" s="512"/>
      <c r="F22" s="506"/>
      <c r="G22" s="506"/>
      <c r="H22" s="506"/>
      <c r="I22" s="506"/>
    </row>
    <row r="23" spans="1:9" ht="14.25" customHeight="1" x14ac:dyDescent="0.3">
      <c r="A23" s="506"/>
      <c r="B23" s="507"/>
      <c r="C23" s="517"/>
      <c r="D23" s="518"/>
      <c r="E23" s="512"/>
      <c r="F23" s="506"/>
      <c r="G23" s="506"/>
      <c r="H23" s="506"/>
      <c r="I23" s="506"/>
    </row>
    <row r="24" spans="1:9" ht="14.25" customHeight="1" x14ac:dyDescent="0.3">
      <c r="A24" s="506"/>
      <c r="B24" s="506"/>
      <c r="C24" s="506"/>
      <c r="D24" s="506"/>
      <c r="E24" s="506"/>
      <c r="F24" s="506"/>
      <c r="G24" s="506"/>
      <c r="H24" s="506"/>
      <c r="I24" s="506"/>
    </row>
    <row r="25" spans="1:9" ht="14.25" customHeight="1" x14ac:dyDescent="0.3"/>
    <row r="26" spans="1:9" ht="14.25" customHeight="1" x14ac:dyDescent="0.3"/>
    <row r="27" spans="1:9" ht="14.25" customHeight="1" x14ac:dyDescent="0.3"/>
    <row r="28" spans="1:9" ht="14.25" customHeight="1" x14ac:dyDescent="0.3"/>
    <row r="29" spans="1:9" ht="14.25" customHeight="1" x14ac:dyDescent="0.3"/>
    <row r="30" spans="1:9" ht="14.25" customHeight="1" x14ac:dyDescent="0.3"/>
    <row r="31" spans="1:9" ht="14.25" customHeight="1" x14ac:dyDescent="0.3"/>
    <row r="32" spans="1:9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B662B-6970-4F9A-8D67-42E07A95252D}">
  <dimension ref="A1:T82"/>
  <sheetViews>
    <sheetView showGridLines="0" workbookViewId="0">
      <pane ySplit="1" topLeftCell="A22" activePane="bottomLeft" state="frozen"/>
      <selection pane="bottomLeft" activeCell="A48" sqref="A48"/>
    </sheetView>
  </sheetViews>
  <sheetFormatPr baseColWidth="10" defaultRowHeight="13.8" x14ac:dyDescent="0.25"/>
  <cols>
    <col min="1" max="1" width="52.19921875" customWidth="1"/>
    <col min="2" max="2" width="8.69921875" style="274" bestFit="1" customWidth="1"/>
    <col min="3" max="3" width="8.3984375" style="274" customWidth="1"/>
    <col min="4" max="4" width="15.09765625" style="275" bestFit="1" customWidth="1"/>
    <col min="5" max="5" width="15.09765625" style="274" bestFit="1" customWidth="1"/>
    <col min="6" max="6" width="13.59765625" style="274" customWidth="1"/>
    <col min="7" max="7" width="15.5" style="274" customWidth="1"/>
    <col min="8" max="8" width="4.19921875" style="526" customWidth="1"/>
    <col min="9" max="9" width="36.69921875" customWidth="1"/>
    <col min="10" max="10" width="13.59765625" bestFit="1" customWidth="1"/>
    <col min="11" max="11" width="18.3984375" customWidth="1"/>
    <col min="12" max="12" width="11" customWidth="1"/>
    <col min="13" max="13" width="11.59765625" customWidth="1"/>
    <col min="14" max="14" width="12.59765625" customWidth="1"/>
    <col min="16" max="16" width="0" hidden="1" customWidth="1"/>
    <col min="17" max="17" width="15.69921875" hidden="1" customWidth="1"/>
    <col min="18" max="20" width="11.59765625" hidden="1" customWidth="1"/>
  </cols>
  <sheetData>
    <row r="1" spans="1:20" s="260" customFormat="1" ht="28.2" thickBot="1" x14ac:dyDescent="0.3">
      <c r="A1" s="519" t="s">
        <v>14</v>
      </c>
      <c r="B1" s="520" t="s">
        <v>20</v>
      </c>
      <c r="C1" s="520" t="s">
        <v>21</v>
      </c>
      <c r="D1" s="521" t="s">
        <v>491</v>
      </c>
      <c r="E1" s="520" t="s">
        <v>492</v>
      </c>
      <c r="F1" s="523" t="s">
        <v>494</v>
      </c>
      <c r="G1" s="522" t="s">
        <v>879</v>
      </c>
      <c r="H1" s="527"/>
    </row>
    <row r="2" spans="1:20" s="259" customFormat="1" x14ac:dyDescent="0.25">
      <c r="A2" s="261" t="s">
        <v>493</v>
      </c>
      <c r="B2" s="264">
        <v>5000</v>
      </c>
      <c r="C2" s="265" t="s">
        <v>6</v>
      </c>
      <c r="D2" s="266">
        <f>86.9*94.25</f>
        <v>8190.3250000000007</v>
      </c>
      <c r="E2" s="266">
        <f t="shared" ref="E2:E36" si="0">B2*D2</f>
        <v>40951625</v>
      </c>
      <c r="F2" s="264" t="s">
        <v>559</v>
      </c>
      <c r="G2" s="267" t="s">
        <v>559</v>
      </c>
      <c r="H2" s="730"/>
      <c r="I2" s="528" t="s">
        <v>878</v>
      </c>
      <c r="J2" s="524">
        <f>G3+G5+G7+SUM(G9:G17)+G20+G21+SUM(G32:G48)+G76+G56</f>
        <v>1116337.3029504134</v>
      </c>
    </row>
    <row r="3" spans="1:20" x14ac:dyDescent="0.25">
      <c r="A3" s="262" t="s">
        <v>543</v>
      </c>
      <c r="B3" s="268">
        <v>2309</v>
      </c>
      <c r="C3" s="269" t="s">
        <v>6</v>
      </c>
      <c r="D3" s="270">
        <v>11060</v>
      </c>
      <c r="E3" s="271">
        <f t="shared" si="0"/>
        <v>25537540</v>
      </c>
      <c r="F3" s="268">
        <v>50</v>
      </c>
      <c r="G3" s="272">
        <f t="shared" ref="G3:G31" si="1">E3/F3</f>
        <v>510750.8</v>
      </c>
      <c r="H3" s="731" t="s">
        <v>668</v>
      </c>
      <c r="I3" s="528" t="s">
        <v>881</v>
      </c>
      <c r="J3" s="400">
        <f>J2/12</f>
        <v>93028.108579201114</v>
      </c>
    </row>
    <row r="4" spans="1:20" x14ac:dyDescent="0.25">
      <c r="A4" s="262" t="s">
        <v>545</v>
      </c>
      <c r="B4" s="268">
        <v>191</v>
      </c>
      <c r="C4" s="269" t="s">
        <v>6</v>
      </c>
      <c r="D4" s="270">
        <v>12245</v>
      </c>
      <c r="E4" s="271">
        <f t="shared" si="0"/>
        <v>2338795</v>
      </c>
      <c r="F4" s="268">
        <v>50</v>
      </c>
      <c r="G4" s="272">
        <f t="shared" si="1"/>
        <v>46775.9</v>
      </c>
      <c r="H4" s="731" t="s">
        <v>559</v>
      </c>
      <c r="K4" s="955"/>
      <c r="L4" s="955"/>
    </row>
    <row r="5" spans="1:20" x14ac:dyDescent="0.25">
      <c r="A5" s="294" t="s">
        <v>614</v>
      </c>
      <c r="B5" s="268">
        <v>1</v>
      </c>
      <c r="C5" s="269" t="s">
        <v>25</v>
      </c>
      <c r="D5" s="270">
        <f>T14/1.21</f>
        <v>33726.859504132233</v>
      </c>
      <c r="E5" s="271">
        <f t="shared" si="0"/>
        <v>33726.859504132233</v>
      </c>
      <c r="F5" s="268">
        <v>10</v>
      </c>
      <c r="G5" s="272">
        <f t="shared" si="1"/>
        <v>3372.6859504132235</v>
      </c>
      <c r="H5" s="731" t="s">
        <v>668</v>
      </c>
      <c r="I5" s="528" t="s">
        <v>880</v>
      </c>
      <c r="J5" s="524">
        <f>G4+G6+G19+SUM(G24:G31)+SUM(G49:G55)+G57+SUM(G64:G75)</f>
        <v>227409.36166666669</v>
      </c>
      <c r="K5" s="285"/>
      <c r="L5" s="285"/>
    </row>
    <row r="6" spans="1:20" x14ac:dyDescent="0.25">
      <c r="A6" s="282" t="s">
        <v>603</v>
      </c>
      <c r="B6" s="268">
        <v>24</v>
      </c>
      <c r="C6" s="269" t="s">
        <v>25</v>
      </c>
      <c r="D6" s="270">
        <v>349.57</v>
      </c>
      <c r="E6" s="271">
        <f t="shared" si="0"/>
        <v>8389.68</v>
      </c>
      <c r="F6" s="268">
        <v>10</v>
      </c>
      <c r="G6" s="272">
        <f t="shared" si="1"/>
        <v>838.96800000000007</v>
      </c>
      <c r="H6" s="731" t="s">
        <v>559</v>
      </c>
      <c r="I6" s="528" t="s">
        <v>882</v>
      </c>
      <c r="J6" s="400">
        <f>J5/12</f>
        <v>18950.780138888891</v>
      </c>
      <c r="K6" s="281"/>
      <c r="L6" s="281"/>
    </row>
    <row r="7" spans="1:20" x14ac:dyDescent="0.25">
      <c r="A7" s="282" t="s">
        <v>601</v>
      </c>
      <c r="B7" s="268">
        <v>22</v>
      </c>
      <c r="C7" s="269" t="s">
        <v>25</v>
      </c>
      <c r="D7" s="270">
        <v>3504.13</v>
      </c>
      <c r="E7" s="271">
        <f t="shared" si="0"/>
        <v>77090.86</v>
      </c>
      <c r="F7" s="268">
        <v>10</v>
      </c>
      <c r="G7" s="272">
        <f t="shared" si="1"/>
        <v>7709.0860000000002</v>
      </c>
      <c r="H7" s="731" t="s">
        <v>668</v>
      </c>
      <c r="K7" s="281"/>
      <c r="L7" s="281"/>
    </row>
    <row r="8" spans="1:20" x14ac:dyDescent="0.25">
      <c r="A8" s="282" t="s">
        <v>602</v>
      </c>
      <c r="B8" s="268">
        <v>9</v>
      </c>
      <c r="C8" s="269" t="s">
        <v>25</v>
      </c>
      <c r="D8" s="270">
        <v>1640.49</v>
      </c>
      <c r="E8" s="271">
        <f t="shared" si="0"/>
        <v>14764.41</v>
      </c>
      <c r="F8" s="268">
        <v>10</v>
      </c>
      <c r="G8" s="272">
        <f t="shared" si="1"/>
        <v>1476.441</v>
      </c>
      <c r="H8" s="731" t="s">
        <v>702</v>
      </c>
      <c r="I8" s="528" t="s">
        <v>883</v>
      </c>
      <c r="J8" s="525">
        <f>G8+G18+G22+G23+SUM(G58:G63)</f>
        <v>23068.589333333333</v>
      </c>
      <c r="K8" s="281"/>
      <c r="L8" s="281"/>
      <c r="Q8" s="284" t="s">
        <v>615</v>
      </c>
      <c r="R8" s="284" t="s">
        <v>20</v>
      </c>
      <c r="S8" s="284" t="s">
        <v>618</v>
      </c>
      <c r="T8" s="284" t="s">
        <v>619</v>
      </c>
    </row>
    <row r="9" spans="1:20" x14ac:dyDescent="0.25">
      <c r="A9" s="263" t="s">
        <v>544</v>
      </c>
      <c r="B9" s="268">
        <v>4</v>
      </c>
      <c r="C9" s="269" t="s">
        <v>25</v>
      </c>
      <c r="D9" s="270">
        <v>60672</v>
      </c>
      <c r="E9" s="271">
        <f t="shared" si="0"/>
        <v>242688</v>
      </c>
      <c r="F9" s="268">
        <v>10</v>
      </c>
      <c r="G9" s="272">
        <f t="shared" si="1"/>
        <v>24268.799999999999</v>
      </c>
      <c r="H9" s="731" t="s">
        <v>668</v>
      </c>
      <c r="I9" s="528" t="s">
        <v>884</v>
      </c>
      <c r="J9" s="400">
        <f>J8/12</f>
        <v>1922.3824444444444</v>
      </c>
      <c r="Q9" s="284" t="s">
        <v>616</v>
      </c>
      <c r="R9" s="295">
        <v>1</v>
      </c>
      <c r="S9" s="276">
        <v>4368</v>
      </c>
      <c r="T9" s="277">
        <f>R9*S9</f>
        <v>4368</v>
      </c>
    </row>
    <row r="10" spans="1:20" x14ac:dyDescent="0.25">
      <c r="A10" s="263" t="s">
        <v>547</v>
      </c>
      <c r="B10" s="268">
        <v>8</v>
      </c>
      <c r="C10" s="269" t="s">
        <v>25</v>
      </c>
      <c r="D10" s="270">
        <v>6004</v>
      </c>
      <c r="E10" s="271">
        <f t="shared" si="0"/>
        <v>48032</v>
      </c>
      <c r="F10" s="268">
        <v>10</v>
      </c>
      <c r="G10" s="272">
        <f t="shared" si="1"/>
        <v>4803.2</v>
      </c>
      <c r="H10" s="731" t="s">
        <v>668</v>
      </c>
      <c r="M10" s="276"/>
      <c r="N10" s="277"/>
      <c r="Q10" s="284" t="s">
        <v>775</v>
      </c>
      <c r="R10" s="295">
        <v>1</v>
      </c>
      <c r="S10" s="276">
        <v>11900</v>
      </c>
      <c r="T10" s="277">
        <f t="shared" ref="T10:T13" si="2">R10*S10</f>
        <v>11900</v>
      </c>
    </row>
    <row r="11" spans="1:20" x14ac:dyDescent="0.25">
      <c r="A11" s="263" t="s">
        <v>548</v>
      </c>
      <c r="B11" s="268">
        <v>1040</v>
      </c>
      <c r="C11" s="269" t="s">
        <v>40</v>
      </c>
      <c r="D11" s="270">
        <v>284.39999999999998</v>
      </c>
      <c r="E11" s="271">
        <f t="shared" si="0"/>
        <v>295776</v>
      </c>
      <c r="F11" s="268">
        <v>10</v>
      </c>
      <c r="G11" s="272">
        <f t="shared" si="1"/>
        <v>29577.599999999999</v>
      </c>
      <c r="H11" s="731" t="s">
        <v>668</v>
      </c>
      <c r="I11" s="731" t="s">
        <v>673</v>
      </c>
      <c r="J11" s="731"/>
      <c r="M11" s="276"/>
      <c r="N11" s="277"/>
      <c r="Q11" s="284" t="s">
        <v>617</v>
      </c>
      <c r="R11" s="296">
        <v>1</v>
      </c>
      <c r="S11" s="276">
        <v>10516</v>
      </c>
      <c r="T11" s="277">
        <f t="shared" si="2"/>
        <v>10516</v>
      </c>
    </row>
    <row r="12" spans="1:20" x14ac:dyDescent="0.25">
      <c r="A12" s="263" t="s">
        <v>546</v>
      </c>
      <c r="B12" s="268">
        <v>12</v>
      </c>
      <c r="C12" s="269" t="s">
        <v>25</v>
      </c>
      <c r="D12" s="270">
        <v>47400</v>
      </c>
      <c r="E12" s="271">
        <f t="shared" si="0"/>
        <v>568800</v>
      </c>
      <c r="F12" s="268">
        <v>5</v>
      </c>
      <c r="G12" s="272">
        <f t="shared" si="1"/>
        <v>113760</v>
      </c>
      <c r="H12" s="731" t="s">
        <v>668</v>
      </c>
      <c r="I12" s="731" t="s">
        <v>675</v>
      </c>
      <c r="J12" s="731"/>
      <c r="M12" s="276"/>
      <c r="N12" s="277"/>
      <c r="Q12" s="284" t="s">
        <v>621</v>
      </c>
      <c r="R12" s="296">
        <v>2</v>
      </c>
      <c r="S12" s="276">
        <v>850</v>
      </c>
      <c r="T12" s="277">
        <f t="shared" si="2"/>
        <v>1700</v>
      </c>
    </row>
    <row r="13" spans="1:20" x14ac:dyDescent="0.25">
      <c r="A13" s="263" t="s">
        <v>555</v>
      </c>
      <c r="B13" s="268">
        <v>2</v>
      </c>
      <c r="C13" s="269" t="s">
        <v>25</v>
      </c>
      <c r="D13" s="270">
        <v>18238.73</v>
      </c>
      <c r="E13" s="271">
        <f t="shared" si="0"/>
        <v>36477.46</v>
      </c>
      <c r="F13" s="268">
        <v>10</v>
      </c>
      <c r="G13" s="272">
        <f t="shared" si="1"/>
        <v>3647.7460000000001</v>
      </c>
      <c r="H13" s="731" t="s">
        <v>668</v>
      </c>
      <c r="I13" s="731" t="s">
        <v>674</v>
      </c>
      <c r="J13" s="731"/>
      <c r="M13" s="276"/>
      <c r="N13" s="277"/>
      <c r="Q13" s="284" t="s">
        <v>620</v>
      </c>
      <c r="R13" s="295">
        <v>66</v>
      </c>
      <c r="S13" s="276">
        <f>747/4</f>
        <v>186.75</v>
      </c>
      <c r="T13" s="277">
        <f t="shared" si="2"/>
        <v>12325.5</v>
      </c>
    </row>
    <row r="14" spans="1:20" x14ac:dyDescent="0.25">
      <c r="A14" s="263" t="s">
        <v>556</v>
      </c>
      <c r="B14" s="268">
        <v>1</v>
      </c>
      <c r="C14" s="269" t="s">
        <v>25</v>
      </c>
      <c r="D14" s="270">
        <v>2844</v>
      </c>
      <c r="E14" s="271">
        <f t="shared" si="0"/>
        <v>2844</v>
      </c>
      <c r="F14" s="268">
        <v>10</v>
      </c>
      <c r="G14" s="272">
        <f t="shared" si="1"/>
        <v>284.39999999999998</v>
      </c>
      <c r="H14" s="731" t="s">
        <v>668</v>
      </c>
      <c r="I14" s="731" t="s">
        <v>703</v>
      </c>
      <c r="J14" s="731"/>
      <c r="M14" s="276"/>
      <c r="N14" s="277"/>
      <c r="Q14" s="284" t="s">
        <v>67</v>
      </c>
      <c r="T14" s="277">
        <f>SUM(T9:T13)</f>
        <v>40809.5</v>
      </c>
    </row>
    <row r="15" spans="1:20" x14ac:dyDescent="0.25">
      <c r="A15" s="263" t="s">
        <v>554</v>
      </c>
      <c r="B15" s="268">
        <v>1</v>
      </c>
      <c r="C15" s="269" t="s">
        <v>25</v>
      </c>
      <c r="D15" s="270">
        <v>9243</v>
      </c>
      <c r="E15" s="271">
        <f t="shared" si="0"/>
        <v>9243</v>
      </c>
      <c r="F15" s="268">
        <v>10</v>
      </c>
      <c r="G15" s="272">
        <f t="shared" si="1"/>
        <v>924.3</v>
      </c>
      <c r="H15" s="731" t="s">
        <v>668</v>
      </c>
      <c r="I15" s="731"/>
      <c r="J15" s="731"/>
      <c r="M15" s="276"/>
      <c r="N15" s="277"/>
    </row>
    <row r="16" spans="1:20" x14ac:dyDescent="0.25">
      <c r="A16" s="263" t="s">
        <v>549</v>
      </c>
      <c r="B16" s="269">
        <v>6</v>
      </c>
      <c r="C16" s="269" t="s">
        <v>25</v>
      </c>
      <c r="D16" s="273">
        <v>12640</v>
      </c>
      <c r="E16" s="271">
        <f t="shared" si="0"/>
        <v>75840</v>
      </c>
      <c r="F16" s="268">
        <v>10</v>
      </c>
      <c r="G16" s="272">
        <f t="shared" si="1"/>
        <v>7584</v>
      </c>
      <c r="H16" s="731" t="s">
        <v>668</v>
      </c>
      <c r="I16" s="731"/>
      <c r="J16" s="731"/>
      <c r="M16" s="276"/>
      <c r="N16" s="277"/>
    </row>
    <row r="17" spans="1:19" x14ac:dyDescent="0.25">
      <c r="A17" s="263" t="s">
        <v>550</v>
      </c>
      <c r="B17" s="269">
        <v>5</v>
      </c>
      <c r="C17" s="269" t="s">
        <v>25</v>
      </c>
      <c r="D17" s="273">
        <v>11455</v>
      </c>
      <c r="E17" s="271">
        <f t="shared" si="0"/>
        <v>57275</v>
      </c>
      <c r="F17" s="268">
        <v>10</v>
      </c>
      <c r="G17" s="272">
        <f t="shared" si="1"/>
        <v>5727.5</v>
      </c>
      <c r="H17" s="731" t="s">
        <v>668</v>
      </c>
      <c r="I17" s="731"/>
      <c r="J17" s="731"/>
      <c r="M17" s="276"/>
      <c r="N17" s="277"/>
      <c r="S17">
        <v>12000</v>
      </c>
    </row>
    <row r="18" spans="1:19" x14ac:dyDescent="0.25">
      <c r="A18" s="263" t="s">
        <v>495</v>
      </c>
      <c r="B18" s="269">
        <v>5</v>
      </c>
      <c r="C18" s="269" t="s">
        <v>25</v>
      </c>
      <c r="D18" s="273">
        <v>11376</v>
      </c>
      <c r="E18" s="271">
        <f t="shared" si="0"/>
        <v>56880</v>
      </c>
      <c r="F18" s="268">
        <v>10</v>
      </c>
      <c r="G18" s="272">
        <f t="shared" si="1"/>
        <v>5688</v>
      </c>
      <c r="H18" s="731" t="s">
        <v>702</v>
      </c>
      <c r="I18" s="731"/>
      <c r="J18" s="731"/>
      <c r="M18" s="276"/>
      <c r="N18" s="277"/>
    </row>
    <row r="19" spans="1:19" x14ac:dyDescent="0.25">
      <c r="A19" s="263" t="s">
        <v>551</v>
      </c>
      <c r="B19" s="269">
        <v>2</v>
      </c>
      <c r="C19" s="269" t="s">
        <v>25</v>
      </c>
      <c r="D19" s="273">
        <v>4266</v>
      </c>
      <c r="E19" s="271">
        <f t="shared" si="0"/>
        <v>8532</v>
      </c>
      <c r="F19" s="268">
        <v>10</v>
      </c>
      <c r="G19" s="272">
        <f t="shared" si="1"/>
        <v>853.2</v>
      </c>
      <c r="H19" s="731" t="s">
        <v>559</v>
      </c>
      <c r="I19" s="731"/>
      <c r="J19" s="731"/>
      <c r="N19" s="277"/>
    </row>
    <row r="20" spans="1:19" x14ac:dyDescent="0.25">
      <c r="A20" s="263" t="s">
        <v>552</v>
      </c>
      <c r="B20" s="269">
        <v>1</v>
      </c>
      <c r="C20" s="269" t="s">
        <v>25</v>
      </c>
      <c r="D20" s="273">
        <v>18960</v>
      </c>
      <c r="E20" s="271">
        <f t="shared" si="0"/>
        <v>18960</v>
      </c>
      <c r="F20" s="268">
        <v>10</v>
      </c>
      <c r="G20" s="272">
        <f t="shared" si="1"/>
        <v>1896</v>
      </c>
      <c r="H20" s="731" t="s">
        <v>668</v>
      </c>
      <c r="I20" s="731"/>
      <c r="J20" s="731"/>
      <c r="N20" s="277"/>
    </row>
    <row r="21" spans="1:19" x14ac:dyDescent="0.25">
      <c r="A21" s="263" t="s">
        <v>496</v>
      </c>
      <c r="B21" s="269">
        <v>5</v>
      </c>
      <c r="C21" s="269" t="s">
        <v>25</v>
      </c>
      <c r="D21" s="273">
        <v>4345</v>
      </c>
      <c r="E21" s="271">
        <f t="shared" si="0"/>
        <v>21725</v>
      </c>
      <c r="F21" s="268">
        <v>10</v>
      </c>
      <c r="G21" s="272">
        <f t="shared" si="1"/>
        <v>2172.5</v>
      </c>
      <c r="H21" s="731" t="s">
        <v>668</v>
      </c>
      <c r="I21" s="731"/>
      <c r="J21" s="731"/>
    </row>
    <row r="22" spans="1:19" x14ac:dyDescent="0.25">
      <c r="A22" s="263" t="s">
        <v>553</v>
      </c>
      <c r="B22" s="269">
        <v>1</v>
      </c>
      <c r="C22" s="269" t="s">
        <v>25</v>
      </c>
      <c r="D22" s="273">
        <v>26796.799999999999</v>
      </c>
      <c r="E22" s="271">
        <f t="shared" si="0"/>
        <v>26796.799999999999</v>
      </c>
      <c r="F22" s="268">
        <v>10</v>
      </c>
      <c r="G22" s="272">
        <f t="shared" si="1"/>
        <v>2679.68</v>
      </c>
      <c r="H22" s="731" t="s">
        <v>702</v>
      </c>
    </row>
    <row r="23" spans="1:19" x14ac:dyDescent="0.25">
      <c r="A23" s="263" t="s">
        <v>497</v>
      </c>
      <c r="B23" s="269">
        <v>4</v>
      </c>
      <c r="C23" s="269" t="s">
        <v>25</v>
      </c>
      <c r="D23" s="273">
        <v>2607</v>
      </c>
      <c r="E23" s="271">
        <f t="shared" si="0"/>
        <v>10428</v>
      </c>
      <c r="F23" s="268">
        <v>10</v>
      </c>
      <c r="G23" s="272">
        <f t="shared" si="1"/>
        <v>1042.8</v>
      </c>
      <c r="H23" s="731" t="s">
        <v>702</v>
      </c>
    </row>
    <row r="24" spans="1:19" x14ac:dyDescent="0.25">
      <c r="A24" s="263" t="s">
        <v>498</v>
      </c>
      <c r="B24" s="269">
        <v>5</v>
      </c>
      <c r="C24" s="269" t="s">
        <v>25</v>
      </c>
      <c r="D24" s="273">
        <v>8682.1</v>
      </c>
      <c r="E24" s="271">
        <f t="shared" si="0"/>
        <v>43410.5</v>
      </c>
      <c r="F24" s="268">
        <v>10</v>
      </c>
      <c r="G24" s="272">
        <f t="shared" si="1"/>
        <v>4341.05</v>
      </c>
      <c r="H24" s="731" t="s">
        <v>559</v>
      </c>
    </row>
    <row r="25" spans="1:19" x14ac:dyDescent="0.25">
      <c r="A25" s="263" t="s">
        <v>499</v>
      </c>
      <c r="B25" s="269">
        <v>2</v>
      </c>
      <c r="C25" s="269" t="s">
        <v>25</v>
      </c>
      <c r="D25" s="273">
        <v>11976.4</v>
      </c>
      <c r="E25" s="271">
        <f t="shared" si="0"/>
        <v>23952.799999999999</v>
      </c>
      <c r="F25" s="268">
        <v>10</v>
      </c>
      <c r="G25" s="272">
        <f t="shared" si="1"/>
        <v>2395.2799999999997</v>
      </c>
      <c r="H25" s="731" t="s">
        <v>559</v>
      </c>
    </row>
    <row r="26" spans="1:19" x14ac:dyDescent="0.25">
      <c r="A26" s="263" t="s">
        <v>500</v>
      </c>
      <c r="B26" s="269">
        <v>5</v>
      </c>
      <c r="C26" s="269" t="s">
        <v>25</v>
      </c>
      <c r="D26" s="273">
        <v>7110</v>
      </c>
      <c r="E26" s="271">
        <f t="shared" si="0"/>
        <v>35550</v>
      </c>
      <c r="F26" s="268">
        <v>10</v>
      </c>
      <c r="G26" s="272">
        <f t="shared" si="1"/>
        <v>3555</v>
      </c>
      <c r="H26" s="731" t="s">
        <v>559</v>
      </c>
    </row>
    <row r="27" spans="1:19" x14ac:dyDescent="0.25">
      <c r="A27" s="263" t="s">
        <v>501</v>
      </c>
      <c r="B27" s="269">
        <v>12</v>
      </c>
      <c r="C27" s="269" t="s">
        <v>25</v>
      </c>
      <c r="D27" s="273">
        <v>2528</v>
      </c>
      <c r="E27" s="271">
        <f t="shared" si="0"/>
        <v>30336</v>
      </c>
      <c r="F27" s="268">
        <v>10</v>
      </c>
      <c r="G27" s="272">
        <f t="shared" si="1"/>
        <v>3033.6</v>
      </c>
      <c r="H27" s="731" t="s">
        <v>559</v>
      </c>
    </row>
    <row r="28" spans="1:19" x14ac:dyDescent="0.25">
      <c r="A28" s="263" t="s">
        <v>502</v>
      </c>
      <c r="B28" s="269">
        <v>1</v>
      </c>
      <c r="C28" s="269" t="s">
        <v>25</v>
      </c>
      <c r="D28" s="273">
        <v>32469</v>
      </c>
      <c r="E28" s="271">
        <f t="shared" si="0"/>
        <v>32469</v>
      </c>
      <c r="F28" s="268">
        <v>10</v>
      </c>
      <c r="G28" s="272">
        <f t="shared" si="1"/>
        <v>3246.9</v>
      </c>
      <c r="H28" s="731" t="s">
        <v>559</v>
      </c>
    </row>
    <row r="29" spans="1:19" x14ac:dyDescent="0.25">
      <c r="A29" s="263" t="s">
        <v>503</v>
      </c>
      <c r="B29" s="269">
        <v>1</v>
      </c>
      <c r="C29" s="269" t="s">
        <v>25</v>
      </c>
      <c r="D29" s="273">
        <v>13430</v>
      </c>
      <c r="E29" s="271">
        <f t="shared" si="0"/>
        <v>13430</v>
      </c>
      <c r="F29" s="268">
        <v>10</v>
      </c>
      <c r="G29" s="272">
        <f t="shared" si="1"/>
        <v>1343</v>
      </c>
      <c r="H29" s="731" t="s">
        <v>559</v>
      </c>
    </row>
    <row r="30" spans="1:19" x14ac:dyDescent="0.25">
      <c r="A30" s="263" t="s">
        <v>504</v>
      </c>
      <c r="B30" s="269">
        <v>1</v>
      </c>
      <c r="C30" s="269" t="s">
        <v>25</v>
      </c>
      <c r="D30" s="273">
        <v>2923</v>
      </c>
      <c r="E30" s="271">
        <f t="shared" si="0"/>
        <v>2923</v>
      </c>
      <c r="F30" s="268">
        <v>10</v>
      </c>
      <c r="G30" s="272">
        <f t="shared" si="1"/>
        <v>292.3</v>
      </c>
      <c r="H30" s="731" t="s">
        <v>559</v>
      </c>
    </row>
    <row r="31" spans="1:19" x14ac:dyDescent="0.25">
      <c r="A31" s="263" t="s">
        <v>505</v>
      </c>
      <c r="B31" s="269">
        <v>3</v>
      </c>
      <c r="C31" s="269" t="s">
        <v>25</v>
      </c>
      <c r="D31" s="273">
        <v>948</v>
      </c>
      <c r="E31" s="271">
        <f t="shared" si="0"/>
        <v>2844</v>
      </c>
      <c r="F31" s="268">
        <v>10</v>
      </c>
      <c r="G31" s="272">
        <f t="shared" si="1"/>
        <v>284.39999999999998</v>
      </c>
      <c r="H31" s="731" t="s">
        <v>559</v>
      </c>
    </row>
    <row r="32" spans="1:19" x14ac:dyDescent="0.25">
      <c r="A32" s="263" t="s">
        <v>563</v>
      </c>
      <c r="B32" s="268">
        <v>1</v>
      </c>
      <c r="C32" s="269" t="s">
        <v>25</v>
      </c>
      <c r="D32" s="271">
        <v>372287.5</v>
      </c>
      <c r="E32" s="271">
        <f t="shared" si="0"/>
        <v>372287.5</v>
      </c>
      <c r="F32" s="268">
        <v>10</v>
      </c>
      <c r="G32" s="272">
        <f t="shared" ref="G32:G76" si="3">E32/F32</f>
        <v>37228.75</v>
      </c>
      <c r="H32" s="731" t="s">
        <v>668</v>
      </c>
    </row>
    <row r="33" spans="1:8" x14ac:dyDescent="0.25">
      <c r="A33" s="263" t="s">
        <v>743</v>
      </c>
      <c r="B33" s="268">
        <v>2</v>
      </c>
      <c r="C33" s="269" t="s">
        <v>25</v>
      </c>
      <c r="D33" s="271">
        <v>483973.75</v>
      </c>
      <c r="E33" s="271">
        <f t="shared" si="0"/>
        <v>967947.5</v>
      </c>
      <c r="F33" s="268">
        <v>10</v>
      </c>
      <c r="G33" s="272">
        <f t="shared" si="3"/>
        <v>96794.75</v>
      </c>
      <c r="H33" s="731" t="s">
        <v>668</v>
      </c>
    </row>
    <row r="34" spans="1:8" x14ac:dyDescent="0.25">
      <c r="A34" s="263" t="s">
        <v>506</v>
      </c>
      <c r="B34" s="268">
        <v>2</v>
      </c>
      <c r="C34" s="268" t="s">
        <v>25</v>
      </c>
      <c r="D34" s="271">
        <v>17379.21</v>
      </c>
      <c r="E34" s="271">
        <f t="shared" si="0"/>
        <v>34758.42</v>
      </c>
      <c r="F34" s="268">
        <v>3</v>
      </c>
      <c r="G34" s="272">
        <f t="shared" si="3"/>
        <v>11586.14</v>
      </c>
      <c r="H34" s="731" t="s">
        <v>668</v>
      </c>
    </row>
    <row r="35" spans="1:8" x14ac:dyDescent="0.25">
      <c r="A35" s="263" t="s">
        <v>562</v>
      </c>
      <c r="B35" s="268">
        <v>1</v>
      </c>
      <c r="C35" s="269" t="s">
        <v>25</v>
      </c>
      <c r="D35" s="271">
        <v>632888.75</v>
      </c>
      <c r="E35" s="271">
        <f t="shared" si="0"/>
        <v>632888.75</v>
      </c>
      <c r="F35" s="268">
        <v>10</v>
      </c>
      <c r="G35" s="272">
        <f t="shared" si="3"/>
        <v>63288.875</v>
      </c>
      <c r="H35" s="731" t="s">
        <v>668</v>
      </c>
    </row>
    <row r="36" spans="1:8" x14ac:dyDescent="0.25">
      <c r="A36" s="282" t="s">
        <v>600</v>
      </c>
      <c r="B36" s="268">
        <v>1</v>
      </c>
      <c r="C36" s="268" t="s">
        <v>25</v>
      </c>
      <c r="D36" s="271">
        <v>32855.370000000003</v>
      </c>
      <c r="E36" s="271">
        <f t="shared" si="0"/>
        <v>32855.370000000003</v>
      </c>
      <c r="F36" s="268">
        <v>10</v>
      </c>
      <c r="G36" s="272">
        <f t="shared" si="3"/>
        <v>3285.5370000000003</v>
      </c>
      <c r="H36" s="731" t="s">
        <v>668</v>
      </c>
    </row>
    <row r="37" spans="1:8" x14ac:dyDescent="0.25">
      <c r="A37" s="263" t="s">
        <v>560</v>
      </c>
      <c r="B37" s="268">
        <v>1</v>
      </c>
      <c r="C37" s="268" t="s">
        <v>25</v>
      </c>
      <c r="D37" s="271">
        <v>387100</v>
      </c>
      <c r="E37" s="271">
        <f t="shared" ref="E37:E68" si="4">B37*D37</f>
        <v>387100</v>
      </c>
      <c r="F37" s="268">
        <v>5</v>
      </c>
      <c r="G37" s="272">
        <f t="shared" si="3"/>
        <v>77420</v>
      </c>
      <c r="H37" s="731" t="s">
        <v>668</v>
      </c>
    </row>
    <row r="38" spans="1:8" x14ac:dyDescent="0.25">
      <c r="A38" s="263" t="s">
        <v>507</v>
      </c>
      <c r="B38" s="268">
        <v>1</v>
      </c>
      <c r="C38" s="268" t="s">
        <v>25</v>
      </c>
      <c r="D38" s="271">
        <v>13982.21</v>
      </c>
      <c r="E38" s="271">
        <f t="shared" si="4"/>
        <v>13982.21</v>
      </c>
      <c r="F38" s="268">
        <v>3</v>
      </c>
      <c r="G38" s="272">
        <f t="shared" si="3"/>
        <v>4660.7366666666667</v>
      </c>
      <c r="H38" s="731" t="s">
        <v>668</v>
      </c>
    </row>
    <row r="39" spans="1:8" x14ac:dyDescent="0.25">
      <c r="A39" s="263" t="s">
        <v>508</v>
      </c>
      <c r="B39" s="268">
        <v>2</v>
      </c>
      <c r="C39" s="268" t="s">
        <v>25</v>
      </c>
      <c r="D39" s="271">
        <v>17814.5</v>
      </c>
      <c r="E39" s="271">
        <f t="shared" si="4"/>
        <v>35629</v>
      </c>
      <c r="F39" s="268">
        <v>3</v>
      </c>
      <c r="G39" s="272">
        <f t="shared" si="3"/>
        <v>11876.333333333334</v>
      </c>
      <c r="H39" s="731" t="s">
        <v>668</v>
      </c>
    </row>
    <row r="40" spans="1:8" x14ac:dyDescent="0.25">
      <c r="A40" s="263" t="s">
        <v>509</v>
      </c>
      <c r="B40" s="268">
        <v>1</v>
      </c>
      <c r="C40" s="268" t="s">
        <v>25</v>
      </c>
      <c r="D40" s="271">
        <v>8610.2099999999991</v>
      </c>
      <c r="E40" s="271">
        <f t="shared" si="4"/>
        <v>8610.2099999999991</v>
      </c>
      <c r="F40" s="268">
        <v>3</v>
      </c>
      <c r="G40" s="272">
        <f t="shared" si="3"/>
        <v>2870.0699999999997</v>
      </c>
      <c r="H40" s="731" t="s">
        <v>668</v>
      </c>
    </row>
    <row r="41" spans="1:8" x14ac:dyDescent="0.25">
      <c r="A41" s="263" t="s">
        <v>510</v>
      </c>
      <c r="B41" s="268">
        <v>2</v>
      </c>
      <c r="C41" s="268" t="s">
        <v>25</v>
      </c>
      <c r="D41" s="271">
        <v>5585.3</v>
      </c>
      <c r="E41" s="271">
        <f t="shared" si="4"/>
        <v>11170.6</v>
      </c>
      <c r="F41" s="268">
        <v>3</v>
      </c>
      <c r="G41" s="272">
        <f t="shared" si="3"/>
        <v>3723.5333333333333</v>
      </c>
      <c r="H41" s="731" t="s">
        <v>668</v>
      </c>
    </row>
    <row r="42" spans="1:8" x14ac:dyDescent="0.25">
      <c r="A42" s="263" t="s">
        <v>511</v>
      </c>
      <c r="B42" s="268">
        <v>3</v>
      </c>
      <c r="C42" s="268" t="s">
        <v>25</v>
      </c>
      <c r="D42" s="271">
        <v>11849.21</v>
      </c>
      <c r="E42" s="271">
        <f t="shared" si="4"/>
        <v>35547.629999999997</v>
      </c>
      <c r="F42" s="268">
        <v>3</v>
      </c>
      <c r="G42" s="272">
        <f t="shared" si="3"/>
        <v>11849.21</v>
      </c>
      <c r="H42" s="731" t="s">
        <v>668</v>
      </c>
    </row>
    <row r="43" spans="1:8" x14ac:dyDescent="0.25">
      <c r="A43" s="263" t="s">
        <v>512</v>
      </c>
      <c r="B43" s="268">
        <v>2</v>
      </c>
      <c r="C43" s="268" t="s">
        <v>25</v>
      </c>
      <c r="D43" s="271">
        <v>8682.1</v>
      </c>
      <c r="E43" s="271">
        <f t="shared" si="4"/>
        <v>17364.2</v>
      </c>
      <c r="F43" s="268">
        <v>3</v>
      </c>
      <c r="G43" s="272">
        <f t="shared" si="3"/>
        <v>5788.0666666666666</v>
      </c>
      <c r="H43" s="731" t="s">
        <v>668</v>
      </c>
    </row>
    <row r="44" spans="1:8" x14ac:dyDescent="0.25">
      <c r="A44" s="263" t="s">
        <v>599</v>
      </c>
      <c r="B44" s="268">
        <v>3</v>
      </c>
      <c r="C44" s="268" t="s">
        <v>25</v>
      </c>
      <c r="D44" s="271">
        <v>7899.21</v>
      </c>
      <c r="E44" s="271">
        <f t="shared" si="4"/>
        <v>23697.63</v>
      </c>
      <c r="F44" s="268">
        <v>3</v>
      </c>
      <c r="G44" s="272">
        <f t="shared" si="3"/>
        <v>7899.21</v>
      </c>
      <c r="H44" s="731" t="s">
        <v>668</v>
      </c>
    </row>
    <row r="45" spans="1:8" x14ac:dyDescent="0.25">
      <c r="A45" s="263" t="s">
        <v>513</v>
      </c>
      <c r="B45" s="268">
        <v>1</v>
      </c>
      <c r="C45" s="268" t="s">
        <v>25</v>
      </c>
      <c r="D45" s="271">
        <v>10586</v>
      </c>
      <c r="E45" s="271">
        <f t="shared" si="4"/>
        <v>10586</v>
      </c>
      <c r="F45" s="268">
        <v>3</v>
      </c>
      <c r="G45" s="272">
        <f t="shared" si="3"/>
        <v>3528.6666666666665</v>
      </c>
      <c r="H45" s="731" t="s">
        <v>668</v>
      </c>
    </row>
    <row r="46" spans="1:8" x14ac:dyDescent="0.25">
      <c r="A46" s="263" t="s">
        <v>515</v>
      </c>
      <c r="B46" s="268">
        <v>1</v>
      </c>
      <c r="C46" s="268" t="s">
        <v>25</v>
      </c>
      <c r="D46" s="271">
        <v>7899.21</v>
      </c>
      <c r="E46" s="271">
        <f t="shared" si="4"/>
        <v>7899.21</v>
      </c>
      <c r="F46" s="268">
        <v>3</v>
      </c>
      <c r="G46" s="272">
        <f t="shared" si="3"/>
        <v>2633.07</v>
      </c>
      <c r="H46" s="731" t="s">
        <v>668</v>
      </c>
    </row>
    <row r="47" spans="1:8" x14ac:dyDescent="0.25">
      <c r="A47" s="263" t="s">
        <v>514</v>
      </c>
      <c r="B47" s="268">
        <v>2</v>
      </c>
      <c r="C47" s="268" t="s">
        <v>25</v>
      </c>
      <c r="D47" s="271">
        <v>15009.21</v>
      </c>
      <c r="E47" s="271">
        <f t="shared" si="4"/>
        <v>30018.42</v>
      </c>
      <c r="F47" s="268">
        <v>3</v>
      </c>
      <c r="G47" s="272">
        <f t="shared" si="3"/>
        <v>10006.14</v>
      </c>
      <c r="H47" s="731" t="s">
        <v>668</v>
      </c>
    </row>
    <row r="48" spans="1:8" x14ac:dyDescent="0.25">
      <c r="A48" s="263" t="s">
        <v>516</v>
      </c>
      <c r="B48" s="268">
        <v>2</v>
      </c>
      <c r="C48" s="268" t="s">
        <v>25</v>
      </c>
      <c r="D48" s="271">
        <v>4739.21</v>
      </c>
      <c r="E48" s="271">
        <f t="shared" si="4"/>
        <v>9478.42</v>
      </c>
      <c r="F48" s="268">
        <v>3</v>
      </c>
      <c r="G48" s="272">
        <f t="shared" si="3"/>
        <v>3159.4733333333334</v>
      </c>
      <c r="H48" s="731" t="s">
        <v>668</v>
      </c>
    </row>
    <row r="49" spans="1:8" x14ac:dyDescent="0.25">
      <c r="A49" s="263" t="s">
        <v>521</v>
      </c>
      <c r="B49" s="268">
        <v>1</v>
      </c>
      <c r="C49" s="268" t="s">
        <v>25</v>
      </c>
      <c r="D49" s="271">
        <v>104338.46</v>
      </c>
      <c r="E49" s="271">
        <f t="shared" si="4"/>
        <v>104338.46</v>
      </c>
      <c r="F49" s="268">
        <v>10</v>
      </c>
      <c r="G49" s="272">
        <f t="shared" si="3"/>
        <v>10433.846000000001</v>
      </c>
      <c r="H49" s="731" t="s">
        <v>559</v>
      </c>
    </row>
    <row r="50" spans="1:8" x14ac:dyDescent="0.25">
      <c r="A50" s="263" t="s">
        <v>522</v>
      </c>
      <c r="B50" s="268">
        <v>4</v>
      </c>
      <c r="C50" s="268" t="s">
        <v>25</v>
      </c>
      <c r="D50" s="271">
        <v>37121.31</v>
      </c>
      <c r="E50" s="271">
        <f t="shared" si="4"/>
        <v>148485.24</v>
      </c>
      <c r="F50" s="268">
        <v>3</v>
      </c>
      <c r="G50" s="272">
        <f t="shared" si="3"/>
        <v>49495.079999999994</v>
      </c>
      <c r="H50" s="731" t="s">
        <v>559</v>
      </c>
    </row>
    <row r="51" spans="1:8" x14ac:dyDescent="0.25">
      <c r="A51" s="263" t="s">
        <v>523</v>
      </c>
      <c r="B51" s="268">
        <v>2</v>
      </c>
      <c r="C51" s="268" t="s">
        <v>25</v>
      </c>
      <c r="D51" s="271">
        <v>47392.1</v>
      </c>
      <c r="E51" s="271">
        <f t="shared" si="4"/>
        <v>94784.2</v>
      </c>
      <c r="F51" s="268">
        <v>3</v>
      </c>
      <c r="G51" s="272">
        <f t="shared" si="3"/>
        <v>31594.733333333334</v>
      </c>
      <c r="H51" s="731" t="s">
        <v>559</v>
      </c>
    </row>
    <row r="52" spans="1:8" x14ac:dyDescent="0.25">
      <c r="A52" s="263" t="s">
        <v>517</v>
      </c>
      <c r="B52" s="268">
        <v>3</v>
      </c>
      <c r="C52" s="268" t="s">
        <v>25</v>
      </c>
      <c r="D52" s="271">
        <v>12339.8</v>
      </c>
      <c r="E52" s="271">
        <f t="shared" si="4"/>
        <v>37019.399999999994</v>
      </c>
      <c r="F52" s="268">
        <v>3</v>
      </c>
      <c r="G52" s="272">
        <f t="shared" si="3"/>
        <v>12339.799999999997</v>
      </c>
      <c r="H52" s="731" t="s">
        <v>559</v>
      </c>
    </row>
    <row r="53" spans="1:8" x14ac:dyDescent="0.25">
      <c r="A53" s="263" t="s">
        <v>518</v>
      </c>
      <c r="B53" s="268">
        <v>1</v>
      </c>
      <c r="C53" s="268" t="s">
        <v>25</v>
      </c>
      <c r="D53" s="271">
        <v>3285.61</v>
      </c>
      <c r="E53" s="271">
        <f t="shared" si="4"/>
        <v>3285.61</v>
      </c>
      <c r="F53" s="268">
        <v>3</v>
      </c>
      <c r="G53" s="272">
        <f t="shared" si="3"/>
        <v>1095.2033333333334</v>
      </c>
      <c r="H53" s="731" t="s">
        <v>559</v>
      </c>
    </row>
    <row r="54" spans="1:8" x14ac:dyDescent="0.25">
      <c r="A54" s="263" t="s">
        <v>519</v>
      </c>
      <c r="B54" s="268">
        <v>1</v>
      </c>
      <c r="C54" s="268" t="s">
        <v>25</v>
      </c>
      <c r="D54" s="271">
        <v>30809.21</v>
      </c>
      <c r="E54" s="271">
        <f t="shared" si="4"/>
        <v>30809.21</v>
      </c>
      <c r="F54" s="268">
        <v>3</v>
      </c>
      <c r="G54" s="272">
        <f t="shared" si="3"/>
        <v>10269.736666666666</v>
      </c>
      <c r="H54" s="731" t="s">
        <v>559</v>
      </c>
    </row>
    <row r="55" spans="1:8" x14ac:dyDescent="0.25">
      <c r="A55" s="263" t="s">
        <v>520</v>
      </c>
      <c r="B55" s="268">
        <v>1</v>
      </c>
      <c r="C55" s="268" t="s">
        <v>25</v>
      </c>
      <c r="D55" s="271">
        <v>3475.21</v>
      </c>
      <c r="E55" s="271">
        <f t="shared" si="4"/>
        <v>3475.21</v>
      </c>
      <c r="F55" s="268">
        <v>3</v>
      </c>
      <c r="G55" s="272">
        <f t="shared" si="3"/>
        <v>1158.4033333333334</v>
      </c>
      <c r="H55" s="731" t="s">
        <v>559</v>
      </c>
    </row>
    <row r="56" spans="1:8" x14ac:dyDescent="0.25">
      <c r="A56" s="263" t="s">
        <v>524</v>
      </c>
      <c r="B56" s="268">
        <v>3</v>
      </c>
      <c r="C56" s="268" t="s">
        <v>25</v>
      </c>
      <c r="D56" s="271">
        <v>5529.21</v>
      </c>
      <c r="E56" s="271">
        <f t="shared" si="4"/>
        <v>16587.63</v>
      </c>
      <c r="F56" s="268">
        <v>10</v>
      </c>
      <c r="G56" s="272">
        <f t="shared" si="3"/>
        <v>1658.7630000000001</v>
      </c>
      <c r="H56" s="731" t="s">
        <v>668</v>
      </c>
    </row>
    <row r="57" spans="1:8" x14ac:dyDescent="0.25">
      <c r="A57" s="263" t="s">
        <v>525</v>
      </c>
      <c r="B57" s="268">
        <v>2</v>
      </c>
      <c r="C57" s="268" t="s">
        <v>25</v>
      </c>
      <c r="D57" s="271">
        <v>1500.21</v>
      </c>
      <c r="E57" s="271">
        <f t="shared" si="4"/>
        <v>3000.42</v>
      </c>
      <c r="F57" s="268">
        <v>3</v>
      </c>
      <c r="G57" s="272">
        <f t="shared" si="3"/>
        <v>1000.14</v>
      </c>
      <c r="H57" s="731" t="s">
        <v>559</v>
      </c>
    </row>
    <row r="58" spans="1:8" x14ac:dyDescent="0.25">
      <c r="A58" s="263" t="s">
        <v>526</v>
      </c>
      <c r="B58" s="268">
        <v>1</v>
      </c>
      <c r="C58" s="268" t="s">
        <v>25</v>
      </c>
      <c r="D58" s="271">
        <v>46688.21</v>
      </c>
      <c r="E58" s="271">
        <f t="shared" si="4"/>
        <v>46688.21</v>
      </c>
      <c r="F58" s="268">
        <v>10</v>
      </c>
      <c r="G58" s="272">
        <f t="shared" si="3"/>
        <v>4668.8209999999999</v>
      </c>
      <c r="H58" s="731" t="s">
        <v>702</v>
      </c>
    </row>
    <row r="59" spans="1:8" x14ac:dyDescent="0.25">
      <c r="A59" s="263" t="s">
        <v>527</v>
      </c>
      <c r="B59" s="269">
        <v>24</v>
      </c>
      <c r="C59" s="268" t="s">
        <v>25</v>
      </c>
      <c r="D59" s="273">
        <v>315.21000000000004</v>
      </c>
      <c r="E59" s="271">
        <f t="shared" si="4"/>
        <v>7565.0400000000009</v>
      </c>
      <c r="F59" s="268">
        <v>10</v>
      </c>
      <c r="G59" s="272">
        <f t="shared" si="3"/>
        <v>756.50400000000013</v>
      </c>
      <c r="H59" s="731" t="s">
        <v>702</v>
      </c>
    </row>
    <row r="60" spans="1:8" x14ac:dyDescent="0.25">
      <c r="A60" s="263" t="s">
        <v>528</v>
      </c>
      <c r="B60" s="269">
        <v>3</v>
      </c>
      <c r="C60" s="268" t="s">
        <v>25</v>
      </c>
      <c r="D60" s="273">
        <v>4661</v>
      </c>
      <c r="E60" s="271">
        <f t="shared" si="4"/>
        <v>13983</v>
      </c>
      <c r="F60" s="268">
        <v>10</v>
      </c>
      <c r="G60" s="272">
        <f t="shared" si="3"/>
        <v>1398.3</v>
      </c>
      <c r="H60" s="731" t="s">
        <v>702</v>
      </c>
    </row>
    <row r="61" spans="1:8" x14ac:dyDescent="0.25">
      <c r="A61" s="263" t="s">
        <v>530</v>
      </c>
      <c r="B61" s="269">
        <v>1</v>
      </c>
      <c r="C61" s="268" t="s">
        <v>25</v>
      </c>
      <c r="D61" s="273">
        <v>8603.1</v>
      </c>
      <c r="E61" s="271">
        <f t="shared" si="4"/>
        <v>8603.1</v>
      </c>
      <c r="F61" s="268">
        <v>10</v>
      </c>
      <c r="G61" s="272">
        <f t="shared" si="3"/>
        <v>860.31000000000006</v>
      </c>
      <c r="H61" s="731" t="s">
        <v>702</v>
      </c>
    </row>
    <row r="62" spans="1:8" x14ac:dyDescent="0.25">
      <c r="A62" s="263" t="s">
        <v>529</v>
      </c>
      <c r="B62" s="269">
        <v>12</v>
      </c>
      <c r="C62" s="268" t="s">
        <v>25</v>
      </c>
      <c r="D62" s="273">
        <v>2646.5</v>
      </c>
      <c r="E62" s="271">
        <f t="shared" si="4"/>
        <v>31758</v>
      </c>
      <c r="F62" s="268">
        <v>10</v>
      </c>
      <c r="G62" s="272">
        <f t="shared" si="3"/>
        <v>3175.8</v>
      </c>
      <c r="H62" s="731" t="s">
        <v>702</v>
      </c>
    </row>
    <row r="63" spans="1:8" x14ac:dyDescent="0.25">
      <c r="A63" s="263" t="s">
        <v>531</v>
      </c>
      <c r="B63" s="268">
        <v>2</v>
      </c>
      <c r="C63" s="268" t="s">
        <v>25</v>
      </c>
      <c r="D63" s="271">
        <v>1982.9</v>
      </c>
      <c r="E63" s="271">
        <f t="shared" si="4"/>
        <v>3965.8</v>
      </c>
      <c r="F63" s="268">
        <v>3</v>
      </c>
      <c r="G63" s="272">
        <f t="shared" si="3"/>
        <v>1321.9333333333334</v>
      </c>
      <c r="H63" s="731" t="s">
        <v>702</v>
      </c>
    </row>
    <row r="64" spans="1:8" x14ac:dyDescent="0.25">
      <c r="A64" s="263" t="s">
        <v>532</v>
      </c>
      <c r="B64" s="268">
        <v>2</v>
      </c>
      <c r="C64" s="268" t="s">
        <v>25</v>
      </c>
      <c r="D64" s="271">
        <v>11455</v>
      </c>
      <c r="E64" s="271">
        <f t="shared" si="4"/>
        <v>22910</v>
      </c>
      <c r="F64" s="268">
        <v>3</v>
      </c>
      <c r="G64" s="272">
        <f t="shared" si="3"/>
        <v>7636.666666666667</v>
      </c>
      <c r="H64" s="731" t="s">
        <v>559</v>
      </c>
    </row>
    <row r="65" spans="1:10" x14ac:dyDescent="0.25">
      <c r="A65" s="263" t="s">
        <v>533</v>
      </c>
      <c r="B65" s="268">
        <v>2</v>
      </c>
      <c r="C65" s="268" t="s">
        <v>25</v>
      </c>
      <c r="D65" s="271">
        <v>2851.9</v>
      </c>
      <c r="E65" s="271">
        <f t="shared" si="4"/>
        <v>5703.8</v>
      </c>
      <c r="F65" s="268">
        <v>3</v>
      </c>
      <c r="G65" s="272">
        <f t="shared" si="3"/>
        <v>1901.2666666666667</v>
      </c>
      <c r="H65" s="731" t="s">
        <v>559</v>
      </c>
    </row>
    <row r="66" spans="1:10" x14ac:dyDescent="0.25">
      <c r="A66" s="263" t="s">
        <v>534</v>
      </c>
      <c r="B66" s="268">
        <v>1</v>
      </c>
      <c r="C66" s="268" t="s">
        <v>25</v>
      </c>
      <c r="D66" s="271">
        <v>2622.8</v>
      </c>
      <c r="E66" s="271">
        <f t="shared" si="4"/>
        <v>2622.8</v>
      </c>
      <c r="F66" s="268">
        <v>3</v>
      </c>
      <c r="G66" s="272">
        <f t="shared" si="3"/>
        <v>874.26666666666677</v>
      </c>
      <c r="H66" s="731" t="s">
        <v>559</v>
      </c>
    </row>
    <row r="67" spans="1:10" x14ac:dyDescent="0.25">
      <c r="A67" s="263" t="s">
        <v>535</v>
      </c>
      <c r="B67" s="268">
        <v>1</v>
      </c>
      <c r="C67" s="268" t="s">
        <v>25</v>
      </c>
      <c r="D67" s="271">
        <v>14062</v>
      </c>
      <c r="E67" s="271">
        <f t="shared" si="4"/>
        <v>14062</v>
      </c>
      <c r="F67" s="268">
        <v>3</v>
      </c>
      <c r="G67" s="272">
        <f t="shared" si="3"/>
        <v>4687.333333333333</v>
      </c>
      <c r="H67" s="731" t="s">
        <v>559</v>
      </c>
    </row>
    <row r="68" spans="1:10" x14ac:dyDescent="0.25">
      <c r="A68" s="263" t="s">
        <v>536</v>
      </c>
      <c r="B68" s="268">
        <v>1</v>
      </c>
      <c r="C68" s="268" t="s">
        <v>25</v>
      </c>
      <c r="D68" s="271">
        <v>7109.21</v>
      </c>
      <c r="E68" s="271">
        <f t="shared" si="4"/>
        <v>7109.21</v>
      </c>
      <c r="F68" s="268">
        <v>3</v>
      </c>
      <c r="G68" s="272">
        <f t="shared" si="3"/>
        <v>2369.7366666666667</v>
      </c>
      <c r="H68" s="731" t="s">
        <v>559</v>
      </c>
    </row>
    <row r="69" spans="1:10" x14ac:dyDescent="0.25">
      <c r="A69" s="263" t="s">
        <v>537</v>
      </c>
      <c r="B69" s="268">
        <v>1</v>
      </c>
      <c r="C69" s="268" t="s">
        <v>25</v>
      </c>
      <c r="D69" s="271">
        <v>22909.21</v>
      </c>
      <c r="E69" s="271">
        <f t="shared" ref="E69:E76" si="5">B69*D69</f>
        <v>22909.21</v>
      </c>
      <c r="F69" s="268">
        <v>3</v>
      </c>
      <c r="G69" s="272">
        <f t="shared" si="3"/>
        <v>7636.4033333333327</v>
      </c>
      <c r="H69" s="731" t="s">
        <v>559</v>
      </c>
    </row>
    <row r="70" spans="1:10" x14ac:dyDescent="0.25">
      <c r="A70" s="263" t="s">
        <v>538</v>
      </c>
      <c r="B70" s="269">
        <v>1</v>
      </c>
      <c r="C70" s="268" t="s">
        <v>25</v>
      </c>
      <c r="D70" s="273">
        <v>3001.21</v>
      </c>
      <c r="E70" s="271">
        <f t="shared" si="5"/>
        <v>3001.21</v>
      </c>
      <c r="F70" s="268">
        <v>3</v>
      </c>
      <c r="G70" s="272">
        <f t="shared" si="3"/>
        <v>1000.4033333333333</v>
      </c>
      <c r="H70" s="731" t="s">
        <v>559</v>
      </c>
    </row>
    <row r="71" spans="1:10" x14ac:dyDescent="0.25">
      <c r="A71" s="263" t="s">
        <v>539</v>
      </c>
      <c r="B71" s="269">
        <v>4</v>
      </c>
      <c r="C71" s="268" t="s">
        <v>25</v>
      </c>
      <c r="D71" s="273">
        <v>1579.21</v>
      </c>
      <c r="E71" s="271">
        <f t="shared" si="5"/>
        <v>6316.84</v>
      </c>
      <c r="F71" s="268">
        <v>3</v>
      </c>
      <c r="G71" s="272">
        <f t="shared" si="3"/>
        <v>2105.6133333333332</v>
      </c>
      <c r="H71" s="731" t="s">
        <v>559</v>
      </c>
    </row>
    <row r="72" spans="1:10" x14ac:dyDescent="0.25">
      <c r="A72" s="263" t="s">
        <v>540</v>
      </c>
      <c r="B72" s="269">
        <v>1</v>
      </c>
      <c r="C72" s="268" t="s">
        <v>25</v>
      </c>
      <c r="D72" s="273">
        <v>14615</v>
      </c>
      <c r="E72" s="271">
        <f t="shared" si="5"/>
        <v>14615</v>
      </c>
      <c r="F72" s="268">
        <v>3</v>
      </c>
      <c r="G72" s="272">
        <f t="shared" si="3"/>
        <v>4871.666666666667</v>
      </c>
      <c r="H72" s="731" t="s">
        <v>559</v>
      </c>
    </row>
    <row r="73" spans="1:10" x14ac:dyDescent="0.25">
      <c r="A73" s="263" t="s">
        <v>541</v>
      </c>
      <c r="B73" s="269">
        <v>1</v>
      </c>
      <c r="C73" s="268" t="s">
        <v>25</v>
      </c>
      <c r="D73" s="273">
        <v>22119.21</v>
      </c>
      <c r="E73" s="271">
        <f t="shared" si="5"/>
        <v>22119.21</v>
      </c>
      <c r="F73" s="268">
        <v>3</v>
      </c>
      <c r="G73" s="272">
        <f t="shared" si="3"/>
        <v>7373.07</v>
      </c>
      <c r="H73" s="731" t="s">
        <v>559</v>
      </c>
    </row>
    <row r="74" spans="1:10" x14ac:dyDescent="0.25">
      <c r="A74" s="263" t="s">
        <v>542</v>
      </c>
      <c r="B74" s="268">
        <v>1</v>
      </c>
      <c r="C74" s="268" t="s">
        <v>25</v>
      </c>
      <c r="D74" s="271">
        <v>2629.91</v>
      </c>
      <c r="E74" s="271">
        <f t="shared" si="5"/>
        <v>2629.91</v>
      </c>
      <c r="F74" s="268">
        <v>10</v>
      </c>
      <c r="G74" s="272">
        <f t="shared" si="3"/>
        <v>262.99099999999999</v>
      </c>
      <c r="H74" s="731" t="s">
        <v>559</v>
      </c>
    </row>
    <row r="75" spans="1:10" x14ac:dyDescent="0.25">
      <c r="A75" s="262" t="s">
        <v>557</v>
      </c>
      <c r="B75" s="268">
        <v>1</v>
      </c>
      <c r="C75" s="268" t="s">
        <v>25</v>
      </c>
      <c r="D75" s="270">
        <v>7030.21</v>
      </c>
      <c r="E75" s="271">
        <f t="shared" si="5"/>
        <v>7030.21</v>
      </c>
      <c r="F75" s="268">
        <v>3</v>
      </c>
      <c r="G75" s="272">
        <f t="shared" si="3"/>
        <v>2343.4033333333332</v>
      </c>
      <c r="H75" s="731" t="s">
        <v>559</v>
      </c>
    </row>
    <row r="76" spans="1:10" ht="14.4" thickBot="1" x14ac:dyDescent="0.3">
      <c r="A76" s="263" t="s">
        <v>558</v>
      </c>
      <c r="B76" s="268">
        <v>1</v>
      </c>
      <c r="C76" s="268" t="s">
        <v>25</v>
      </c>
      <c r="D76" s="270">
        <v>121804.08</v>
      </c>
      <c r="E76" s="271">
        <f t="shared" si="5"/>
        <v>121804.08</v>
      </c>
      <c r="F76" s="268">
        <v>3</v>
      </c>
      <c r="G76" s="272">
        <f t="shared" si="3"/>
        <v>40601.360000000001</v>
      </c>
      <c r="H76" s="731" t="s">
        <v>668</v>
      </c>
    </row>
    <row r="77" spans="1:10" ht="14.4" thickBot="1" x14ac:dyDescent="0.3">
      <c r="A77" s="583" t="s">
        <v>67</v>
      </c>
      <c r="B77" s="584"/>
      <c r="C77" s="584"/>
      <c r="D77" s="585"/>
      <c r="E77" s="585">
        <f>SUM(E2:E76)</f>
        <v>74066147.449504033</v>
      </c>
      <c r="F77" s="584"/>
      <c r="G77" s="586">
        <f>SUM(G2:G76)</f>
        <v>1366815.2539504133</v>
      </c>
      <c r="I77" s="529">
        <f>E77*0.005</f>
        <v>370330.73724752018</v>
      </c>
      <c r="J77" s="529">
        <f>I77/12</f>
        <v>30860.894770626681</v>
      </c>
    </row>
    <row r="82" spans="1:1" x14ac:dyDescent="0.25">
      <c r="A82" s="284"/>
    </row>
  </sheetData>
  <mergeCells count="1">
    <mergeCell ref="K4:L4"/>
  </mergeCells>
  <pageMargins left="0.7" right="0.7" top="0.75" bottom="0.75" header="0.3" footer="0.3"/>
  <pageSetup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62ECF-E6F0-4365-A33A-3692D6D4D433}">
  <dimension ref="A1:AM1013"/>
  <sheetViews>
    <sheetView showGridLines="0" workbookViewId="0">
      <pane xSplit="3" ySplit="8" topLeftCell="D82" activePane="bottomRight" state="frozen"/>
      <selection pane="topRight" activeCell="D1" sqref="D1"/>
      <selection pane="bottomLeft" activeCell="A9" sqref="A9"/>
      <selection pane="bottomRight" sqref="A1:D102"/>
    </sheetView>
  </sheetViews>
  <sheetFormatPr baseColWidth="10" defaultColWidth="12.59765625" defaultRowHeight="15" customHeight="1" x14ac:dyDescent="0.25"/>
  <cols>
    <col min="1" max="1" width="50.5" style="284" bestFit="1" customWidth="1"/>
    <col min="2" max="2" width="7.69921875" style="563" customWidth="1"/>
    <col min="3" max="3" width="13" style="323" bestFit="1" customWidth="1"/>
    <col min="4" max="4" width="14.09765625" style="323" bestFit="1" customWidth="1"/>
    <col min="5" max="5" width="12.09765625" style="323" hidden="1" customWidth="1"/>
    <col min="6" max="6" width="8" style="284" hidden="1" customWidth="1"/>
    <col min="7" max="7" width="50.5" style="284" hidden="1" customWidth="1"/>
    <col min="8" max="8" width="7.8984375" style="387" bestFit="1" customWidth="1"/>
    <col min="9" max="9" width="14.09765625" style="323" bestFit="1" customWidth="1"/>
    <col min="10" max="11" width="8" style="284" hidden="1" customWidth="1"/>
    <col min="12" max="12" width="50.5" style="284" hidden="1" customWidth="1"/>
    <col min="13" max="13" width="7.8984375" style="387" bestFit="1" customWidth="1"/>
    <col min="14" max="14" width="14.09765625" style="323" bestFit="1" customWidth="1"/>
    <col min="15" max="16" width="8" style="284" hidden="1" customWidth="1"/>
    <col min="17" max="17" width="50.5" style="284" hidden="1" customWidth="1"/>
    <col min="18" max="18" width="7.8984375" style="387" bestFit="1" customWidth="1"/>
    <col min="19" max="19" width="14.09765625" style="323" bestFit="1" customWidth="1"/>
    <col min="20" max="21" width="8" style="284" hidden="1" customWidth="1"/>
    <col min="22" max="22" width="50.5" style="284" hidden="1" customWidth="1"/>
    <col min="23" max="23" width="7.69921875" style="387" customWidth="1"/>
    <col min="24" max="24" width="12.59765625" style="554" bestFit="1" customWidth="1"/>
    <col min="25" max="27" width="12.59765625" style="284"/>
    <col min="28" max="28" width="14.19921875" style="284" bestFit="1" customWidth="1"/>
    <col min="29" max="30" width="12.59765625" style="284"/>
    <col min="31" max="31" width="13.8984375" style="284" bestFit="1" customWidth="1"/>
    <col min="32" max="16384" width="12.59765625" style="284"/>
  </cols>
  <sheetData>
    <row r="1" spans="1:24" ht="14.25" customHeight="1" x14ac:dyDescent="0.3">
      <c r="A1" s="956" t="s">
        <v>14</v>
      </c>
      <c r="B1" s="959" t="s">
        <v>2</v>
      </c>
      <c r="C1" s="960"/>
      <c r="D1" s="961"/>
      <c r="G1" s="324" t="s">
        <v>8</v>
      </c>
      <c r="H1" s="958" t="s">
        <v>8</v>
      </c>
      <c r="I1" s="958"/>
      <c r="J1" s="282"/>
      <c r="K1" s="282"/>
      <c r="L1" s="532" t="s">
        <v>9</v>
      </c>
      <c r="M1" s="958" t="s">
        <v>9</v>
      </c>
      <c r="N1" s="958"/>
      <c r="O1" s="282"/>
      <c r="P1" s="282"/>
      <c r="Q1" s="532" t="s">
        <v>10</v>
      </c>
      <c r="R1" s="958" t="s">
        <v>10</v>
      </c>
      <c r="S1" s="958"/>
      <c r="T1" s="282"/>
      <c r="U1" s="282"/>
      <c r="V1" s="532" t="s">
        <v>12</v>
      </c>
      <c r="W1" s="958" t="s">
        <v>12</v>
      </c>
      <c r="X1" s="958"/>
    </row>
    <row r="2" spans="1:24" ht="14.25" customHeight="1" x14ac:dyDescent="0.25">
      <c r="A2" s="957"/>
      <c r="B2" s="558" t="s">
        <v>20</v>
      </c>
      <c r="C2" s="325" t="s">
        <v>564</v>
      </c>
      <c r="D2" s="325" t="s">
        <v>565</v>
      </c>
      <c r="G2" s="326" t="s">
        <v>14</v>
      </c>
      <c r="H2" s="538" t="s">
        <v>20</v>
      </c>
      <c r="I2" s="325" t="s">
        <v>565</v>
      </c>
      <c r="J2" s="282"/>
      <c r="K2" s="282"/>
      <c r="L2" s="533" t="s">
        <v>14</v>
      </c>
      <c r="M2" s="538" t="s">
        <v>20</v>
      </c>
      <c r="N2" s="325" t="s">
        <v>565</v>
      </c>
      <c r="O2" s="282"/>
      <c r="P2" s="282"/>
      <c r="Q2" s="533" t="s">
        <v>14</v>
      </c>
      <c r="R2" s="538" t="s">
        <v>20</v>
      </c>
      <c r="S2" s="325" t="s">
        <v>565</v>
      </c>
      <c r="T2" s="282"/>
      <c r="U2" s="282"/>
      <c r="V2" s="533" t="s">
        <v>14</v>
      </c>
      <c r="W2" s="538" t="s">
        <v>20</v>
      </c>
      <c r="X2" s="551" t="s">
        <v>565</v>
      </c>
    </row>
    <row r="3" spans="1:24" ht="14.25" customHeight="1" x14ac:dyDescent="0.25">
      <c r="A3" s="339" t="s">
        <v>24</v>
      </c>
      <c r="B3" s="559">
        <v>1</v>
      </c>
      <c r="C3" s="327">
        <v>193291.67</v>
      </c>
      <c r="D3" s="327">
        <f>B3*C3</f>
        <v>193291.67</v>
      </c>
      <c r="G3" s="328" t="s">
        <v>24</v>
      </c>
      <c r="H3" s="539">
        <v>1</v>
      </c>
      <c r="I3" s="327">
        <f>H3*C3</f>
        <v>193291.67</v>
      </c>
      <c r="J3" s="282"/>
      <c r="K3" s="282"/>
      <c r="L3" s="339" t="s">
        <v>26</v>
      </c>
      <c r="M3" s="539">
        <v>0</v>
      </c>
      <c r="N3" s="327">
        <f>M3*C3</f>
        <v>0</v>
      </c>
      <c r="O3" s="282"/>
      <c r="P3" s="282"/>
      <c r="Q3" s="339" t="s">
        <v>26</v>
      </c>
      <c r="R3" s="539">
        <v>0</v>
      </c>
      <c r="S3" s="327">
        <f>R3*C3</f>
        <v>0</v>
      </c>
      <c r="T3" s="282"/>
      <c r="U3" s="282"/>
      <c r="V3" s="339" t="s">
        <v>26</v>
      </c>
      <c r="W3" s="539">
        <v>0</v>
      </c>
      <c r="X3" s="552">
        <f>W3*C3</f>
        <v>0</v>
      </c>
    </row>
    <row r="4" spans="1:24" ht="14.25" customHeight="1" x14ac:dyDescent="0.25">
      <c r="A4" s="339" t="s">
        <v>26</v>
      </c>
      <c r="B4" s="559">
        <v>1</v>
      </c>
      <c r="C4" s="327">
        <v>267376.88250000001</v>
      </c>
      <c r="D4" s="327">
        <f>B4*C4</f>
        <v>267376.88250000001</v>
      </c>
      <c r="G4" s="328" t="s">
        <v>26</v>
      </c>
      <c r="H4" s="539">
        <v>1</v>
      </c>
      <c r="I4" s="327">
        <f>H4*C4</f>
        <v>267376.88250000001</v>
      </c>
      <c r="J4" s="282"/>
      <c r="K4" s="282"/>
      <c r="L4" s="339"/>
      <c r="M4" s="539">
        <v>2</v>
      </c>
      <c r="N4" s="327">
        <f t="shared" ref="N4:N72" si="0">M4*C4</f>
        <v>534753.76500000001</v>
      </c>
      <c r="O4" s="282"/>
      <c r="P4" s="282"/>
      <c r="Q4" s="339"/>
      <c r="R4" s="539">
        <v>2</v>
      </c>
      <c r="S4" s="327">
        <f t="shared" ref="S4:S72" si="1">R4*C4</f>
        <v>534753.76500000001</v>
      </c>
      <c r="T4" s="282"/>
      <c r="U4" s="282"/>
      <c r="V4" s="339"/>
      <c r="W4" s="539">
        <v>1</v>
      </c>
      <c r="X4" s="552">
        <f t="shared" ref="X4:X72" si="2">W4*C4</f>
        <v>267376.88250000001</v>
      </c>
    </row>
    <row r="5" spans="1:24" ht="14.25" customHeight="1" x14ac:dyDescent="0.25">
      <c r="A5" s="535" t="s">
        <v>28</v>
      </c>
      <c r="B5" s="560"/>
      <c r="C5" s="329"/>
      <c r="D5" s="329"/>
      <c r="E5" s="330"/>
      <c r="F5" s="331"/>
      <c r="G5" s="332"/>
      <c r="H5" s="540"/>
      <c r="I5" s="333"/>
      <c r="J5" s="334"/>
      <c r="K5" s="334"/>
      <c r="L5" s="534"/>
      <c r="M5" s="540"/>
      <c r="N5" s="333"/>
      <c r="O5" s="334"/>
      <c r="P5" s="334"/>
      <c r="Q5" s="534"/>
      <c r="R5" s="540"/>
      <c r="S5" s="333"/>
      <c r="T5" s="334"/>
      <c r="U5" s="334"/>
      <c r="V5" s="534"/>
      <c r="W5" s="540"/>
      <c r="X5" s="553"/>
    </row>
    <row r="6" spans="1:24" ht="14.25" customHeight="1" x14ac:dyDescent="0.25">
      <c r="A6" s="339" t="s">
        <v>33</v>
      </c>
      <c r="B6" s="561">
        <f>(H180+H181)*B189</f>
        <v>3.0492000000000004</v>
      </c>
      <c r="C6" s="327">
        <f>E6-E6*0.21</f>
        <v>142.19999999999999</v>
      </c>
      <c r="D6" s="327">
        <f>B6*C6</f>
        <v>433.59624000000002</v>
      </c>
      <c r="E6" s="323">
        <v>180</v>
      </c>
      <c r="G6" s="328" t="s">
        <v>33</v>
      </c>
      <c r="H6" s="541">
        <f>(H180+H181)*B189</f>
        <v>3.0492000000000004</v>
      </c>
      <c r="I6" s="327">
        <f t="shared" ref="I6:I30" si="3">H6*C6</f>
        <v>433.59624000000002</v>
      </c>
      <c r="J6" s="282"/>
      <c r="K6" s="282"/>
      <c r="L6" s="339" t="s">
        <v>33</v>
      </c>
      <c r="M6" s="541">
        <f>M181*B189</f>
        <v>3.85968</v>
      </c>
      <c r="N6" s="327">
        <f t="shared" si="0"/>
        <v>548.846496</v>
      </c>
      <c r="O6" s="282"/>
      <c r="P6" s="282"/>
      <c r="Q6" s="339" t="s">
        <v>33</v>
      </c>
      <c r="R6" s="541">
        <f>O181*B189</f>
        <v>3.85968</v>
      </c>
      <c r="S6" s="327">
        <f t="shared" si="1"/>
        <v>548.846496</v>
      </c>
      <c r="T6" s="282"/>
      <c r="U6" s="282"/>
      <c r="V6" s="339" t="s">
        <v>33</v>
      </c>
      <c r="W6" s="539">
        <v>19.41</v>
      </c>
      <c r="X6" s="552">
        <f t="shared" si="2"/>
        <v>2760.1019999999999</v>
      </c>
    </row>
    <row r="7" spans="1:24" ht="14.25" customHeight="1" x14ac:dyDescent="0.25">
      <c r="A7" s="339" t="s">
        <v>36</v>
      </c>
      <c r="B7" s="561">
        <f>((B23*B190)*2)-B30</f>
        <v>15.695519999999995</v>
      </c>
      <c r="C7" s="327">
        <f t="shared" ref="C7:C75" si="4">E7-E7*0.21</f>
        <v>170.03960000000001</v>
      </c>
      <c r="D7" s="327">
        <f>B7*C7</f>
        <v>2668.8599425919992</v>
      </c>
      <c r="E7" s="323">
        <v>215.24</v>
      </c>
      <c r="G7" s="328" t="s">
        <v>36</v>
      </c>
      <c r="H7" s="541">
        <f>((H23*B190)*2)-H30</f>
        <v>17.62472</v>
      </c>
      <c r="I7" s="327">
        <f t="shared" si="3"/>
        <v>2996.9003389120003</v>
      </c>
      <c r="J7" s="282"/>
      <c r="K7" s="282"/>
      <c r="L7" s="339" t="s">
        <v>36</v>
      </c>
      <c r="M7" s="541">
        <f>(M23*$B$190*2)-M30</f>
        <v>19.935040000000004</v>
      </c>
      <c r="N7" s="327">
        <f t="shared" si="0"/>
        <v>3389.7462275840007</v>
      </c>
      <c r="O7" s="282"/>
      <c r="P7" s="282"/>
      <c r="Q7" s="339" t="s">
        <v>36</v>
      </c>
      <c r="R7" s="541">
        <f>(R23*$B$190*2)-R30</f>
        <v>11.885199999999999</v>
      </c>
      <c r="S7" s="327">
        <f t="shared" si="1"/>
        <v>2020.9546539200001</v>
      </c>
      <c r="T7" s="282"/>
      <c r="U7" s="282"/>
      <c r="V7" s="339" t="s">
        <v>36</v>
      </c>
      <c r="W7" s="541">
        <f>(W23*$B$190*2)-W30</f>
        <v>3.2846400000000031</v>
      </c>
      <c r="X7" s="552">
        <f t="shared" si="2"/>
        <v>558.51887174400053</v>
      </c>
    </row>
    <row r="8" spans="1:24" ht="14.25" customHeight="1" x14ac:dyDescent="0.25">
      <c r="A8" s="339" t="s">
        <v>38</v>
      </c>
      <c r="B8" s="561">
        <f>((H178-H175)*B191)*2</f>
        <v>32.495800000000003</v>
      </c>
      <c r="C8" s="327">
        <f t="shared" si="4"/>
        <v>323.07049999999998</v>
      </c>
      <c r="D8" s="327">
        <f>B8*C8</f>
        <v>10498.4343539</v>
      </c>
      <c r="E8" s="323">
        <v>408.95</v>
      </c>
      <c r="G8" s="328" t="s">
        <v>38</v>
      </c>
      <c r="H8" s="541">
        <f>((J178-J175)*B191)*2</f>
        <v>29.653800000000004</v>
      </c>
      <c r="I8" s="327">
        <f t="shared" si="3"/>
        <v>9580.2679929000005</v>
      </c>
      <c r="J8" s="282"/>
      <c r="K8" s="282"/>
      <c r="L8" s="339" t="s">
        <v>38</v>
      </c>
      <c r="M8" s="541">
        <f>((M178-M175)*B191)*2</f>
        <v>35.859000000000002</v>
      </c>
      <c r="N8" s="327">
        <f t="shared" si="0"/>
        <v>11584.985059500001</v>
      </c>
      <c r="O8" s="282"/>
      <c r="P8" s="282"/>
      <c r="Q8" s="339" t="s">
        <v>38</v>
      </c>
      <c r="R8" s="539">
        <f>((O178-O175)*$B$191)*2</f>
        <v>40.67</v>
      </c>
      <c r="S8" s="327">
        <f t="shared" si="1"/>
        <v>13139.277235</v>
      </c>
      <c r="T8" s="282"/>
      <c r="U8" s="282"/>
      <c r="V8" s="339" t="s">
        <v>38</v>
      </c>
      <c r="W8" s="541">
        <f>((P178-P175)*$B$191)*2</f>
        <v>21.1388</v>
      </c>
      <c r="X8" s="552">
        <f t="shared" si="2"/>
        <v>6829.3226853999995</v>
      </c>
    </row>
    <row r="9" spans="1:24" ht="14.25" customHeight="1" x14ac:dyDescent="0.25">
      <c r="A9" s="535" t="s">
        <v>39</v>
      </c>
      <c r="B9" s="560"/>
      <c r="C9" s="333"/>
      <c r="D9" s="329"/>
      <c r="E9" s="330"/>
      <c r="F9" s="331"/>
      <c r="G9" s="332"/>
      <c r="H9" s="540"/>
      <c r="I9" s="333"/>
      <c r="J9" s="334"/>
      <c r="K9" s="334"/>
      <c r="L9" s="534"/>
      <c r="M9" s="540"/>
      <c r="N9" s="333"/>
      <c r="O9" s="334"/>
      <c r="P9" s="334"/>
      <c r="Q9" s="534"/>
      <c r="R9" s="540"/>
      <c r="S9" s="333"/>
      <c r="T9" s="334"/>
      <c r="U9" s="334"/>
      <c r="V9" s="534"/>
      <c r="W9" s="540"/>
      <c r="X9" s="553"/>
    </row>
    <row r="10" spans="1:24" ht="14.25" customHeight="1" x14ac:dyDescent="0.25">
      <c r="A10" s="339" t="s">
        <v>567</v>
      </c>
      <c r="B10" s="559">
        <f>B142</f>
        <v>289.2</v>
      </c>
      <c r="C10" s="327">
        <f t="shared" si="4"/>
        <v>70.152000000000001</v>
      </c>
      <c r="D10" s="327">
        <f t="shared" ref="D10:D30" si="5">B10*C10</f>
        <v>20287.9584</v>
      </c>
      <c r="E10" s="323">
        <v>88.8</v>
      </c>
      <c r="G10" s="381" t="s">
        <v>567</v>
      </c>
      <c r="H10" s="541">
        <f>H142</f>
        <v>272.77499999999998</v>
      </c>
      <c r="I10" s="327">
        <f t="shared" si="3"/>
        <v>19135.711799999997</v>
      </c>
      <c r="J10" s="282"/>
      <c r="K10" s="282"/>
      <c r="L10" s="339" t="s">
        <v>333</v>
      </c>
      <c r="M10" s="539">
        <f>M142</f>
        <v>348.8</v>
      </c>
      <c r="N10" s="327">
        <f t="shared" si="0"/>
        <v>24469.017600000003</v>
      </c>
      <c r="O10" s="282"/>
      <c r="P10" s="282"/>
      <c r="Q10" s="339" t="s">
        <v>333</v>
      </c>
      <c r="R10" s="539">
        <f>R142</f>
        <v>392.75</v>
      </c>
      <c r="S10" s="327">
        <f t="shared" si="1"/>
        <v>27552.198</v>
      </c>
      <c r="T10" s="282"/>
      <c r="U10" s="282"/>
      <c r="V10" s="339" t="s">
        <v>333</v>
      </c>
      <c r="W10" s="541">
        <f>W143</f>
        <v>190.07499999999999</v>
      </c>
      <c r="X10" s="552">
        <f t="shared" si="2"/>
        <v>13334.141399999999</v>
      </c>
    </row>
    <row r="11" spans="1:24" ht="14.25" customHeight="1" x14ac:dyDescent="0.25">
      <c r="A11" s="339" t="s">
        <v>566</v>
      </c>
      <c r="B11" s="559">
        <f>B141</f>
        <v>115.67999999999999</v>
      </c>
      <c r="C11" s="327">
        <f t="shared" si="4"/>
        <v>62.417900000000003</v>
      </c>
      <c r="D11" s="327">
        <f t="shared" si="5"/>
        <v>7220.5026719999996</v>
      </c>
      <c r="E11" s="323">
        <v>79.010000000000005</v>
      </c>
      <c r="G11" s="381" t="s">
        <v>566</v>
      </c>
      <c r="H11" s="539">
        <f>H141</f>
        <v>109.11</v>
      </c>
      <c r="I11" s="327">
        <f t="shared" si="3"/>
        <v>6810.4170690000001</v>
      </c>
      <c r="J11" s="282"/>
      <c r="K11" s="282"/>
      <c r="L11" s="339" t="s">
        <v>332</v>
      </c>
      <c r="M11" s="539">
        <f>M141</f>
        <v>139.52000000000001</v>
      </c>
      <c r="N11" s="327">
        <f t="shared" si="0"/>
        <v>8708.5454080000018</v>
      </c>
      <c r="O11" s="282"/>
      <c r="P11" s="282"/>
      <c r="Q11" s="339" t="s">
        <v>332</v>
      </c>
      <c r="R11" s="539">
        <f>R141</f>
        <v>157.1</v>
      </c>
      <c r="S11" s="327">
        <f t="shared" si="1"/>
        <v>9805.8520900000003</v>
      </c>
      <c r="T11" s="282"/>
      <c r="U11" s="282"/>
      <c r="V11" s="339" t="s">
        <v>332</v>
      </c>
      <c r="W11" s="539">
        <f>W142</f>
        <v>76.03</v>
      </c>
      <c r="X11" s="552">
        <f t="shared" si="2"/>
        <v>4745.6329370000003</v>
      </c>
    </row>
    <row r="12" spans="1:24" ht="14.25" customHeight="1" x14ac:dyDescent="0.25">
      <c r="A12" s="339" t="s">
        <v>568</v>
      </c>
      <c r="B12" s="559">
        <f>B148</f>
        <v>90</v>
      </c>
      <c r="C12" s="327">
        <f t="shared" si="4"/>
        <v>52.5824</v>
      </c>
      <c r="D12" s="327">
        <f t="shared" si="5"/>
        <v>4732.4160000000002</v>
      </c>
      <c r="E12" s="323">
        <v>66.56</v>
      </c>
      <c r="G12" s="328" t="s">
        <v>335</v>
      </c>
      <c r="H12" s="539">
        <f>H148</f>
        <v>90</v>
      </c>
      <c r="I12" s="327">
        <f t="shared" si="3"/>
        <v>4732.4160000000002</v>
      </c>
      <c r="J12" s="282"/>
      <c r="K12" s="282"/>
      <c r="L12" s="339" t="s">
        <v>335</v>
      </c>
      <c r="M12" s="539">
        <f>M148</f>
        <v>120</v>
      </c>
      <c r="N12" s="327">
        <f t="shared" si="0"/>
        <v>6309.8879999999999</v>
      </c>
      <c r="O12" s="282"/>
      <c r="P12" s="282"/>
      <c r="Q12" s="339" t="s">
        <v>335</v>
      </c>
      <c r="R12" s="539">
        <f>R148</f>
        <v>120</v>
      </c>
      <c r="S12" s="327">
        <f t="shared" si="1"/>
        <v>6309.8879999999999</v>
      </c>
      <c r="T12" s="282"/>
      <c r="U12" s="282"/>
      <c r="V12" s="339" t="s">
        <v>335</v>
      </c>
      <c r="W12" s="539">
        <f>W149</f>
        <v>60</v>
      </c>
      <c r="X12" s="552">
        <f t="shared" si="2"/>
        <v>3154.944</v>
      </c>
    </row>
    <row r="13" spans="1:24" ht="14.25" customHeight="1" x14ac:dyDescent="0.25">
      <c r="A13" s="339" t="s">
        <v>331</v>
      </c>
      <c r="B13" s="559">
        <f>B123</f>
        <v>54.77</v>
      </c>
      <c r="C13" s="327">
        <f t="shared" si="4"/>
        <v>45.843699999999998</v>
      </c>
      <c r="D13" s="327">
        <f t="shared" si="5"/>
        <v>2510.859449</v>
      </c>
      <c r="E13" s="323">
        <v>58.03</v>
      </c>
      <c r="G13" s="328" t="s">
        <v>331</v>
      </c>
      <c r="H13" s="539">
        <f>H150</f>
        <v>64.209999999999994</v>
      </c>
      <c r="I13" s="327">
        <f t="shared" si="3"/>
        <v>2943.6239769999997</v>
      </c>
      <c r="J13" s="282"/>
      <c r="K13" s="282"/>
      <c r="L13" s="339" t="s">
        <v>331</v>
      </c>
      <c r="M13" s="539">
        <f>M150</f>
        <v>67.459999999999994</v>
      </c>
      <c r="N13" s="327">
        <f t="shared" si="0"/>
        <v>3092.6160019999998</v>
      </c>
      <c r="O13" s="282"/>
      <c r="P13" s="282"/>
      <c r="Q13" s="339" t="s">
        <v>331</v>
      </c>
      <c r="R13" s="539">
        <f>R150</f>
        <v>70.040000000000006</v>
      </c>
      <c r="S13" s="327">
        <f t="shared" si="1"/>
        <v>3210.8927480000002</v>
      </c>
      <c r="T13" s="282"/>
      <c r="U13" s="282"/>
      <c r="V13" s="339" t="s">
        <v>331</v>
      </c>
      <c r="W13" s="539">
        <f>W151</f>
        <v>32.19</v>
      </c>
      <c r="X13" s="552">
        <f t="shared" si="2"/>
        <v>1475.7087029999998</v>
      </c>
    </row>
    <row r="14" spans="1:24" ht="14.25" customHeight="1" x14ac:dyDescent="0.25">
      <c r="A14" s="339" t="s">
        <v>42</v>
      </c>
      <c r="B14" s="561">
        <f>B145</f>
        <v>218.22899999999998</v>
      </c>
      <c r="C14" s="327">
        <f t="shared" si="4"/>
        <v>2.1566999999999998</v>
      </c>
      <c r="D14" s="327">
        <f t="shared" si="5"/>
        <v>470.65448429999992</v>
      </c>
      <c r="E14" s="323">
        <v>2.73</v>
      </c>
      <c r="G14" s="328" t="s">
        <v>42</v>
      </c>
      <c r="H14" s="541">
        <f>H145</f>
        <v>221.7765</v>
      </c>
      <c r="I14" s="327">
        <f t="shared" si="3"/>
        <v>478.30537754999995</v>
      </c>
      <c r="J14" s="282"/>
      <c r="K14" s="282"/>
      <c r="L14" s="339" t="s">
        <v>42</v>
      </c>
      <c r="M14" s="541">
        <f>M145</f>
        <v>276.19349999999997</v>
      </c>
      <c r="N14" s="327">
        <f t="shared" si="0"/>
        <v>595.66652144999989</v>
      </c>
      <c r="O14" s="282"/>
      <c r="P14" s="282"/>
      <c r="Q14" s="339" t="s">
        <v>42</v>
      </c>
      <c r="R14" s="541">
        <f>R145</f>
        <v>297.31349999999998</v>
      </c>
      <c r="S14" s="327">
        <f t="shared" si="1"/>
        <v>641.21602544999985</v>
      </c>
      <c r="T14" s="282"/>
      <c r="U14" s="282"/>
      <c r="V14" s="339" t="s">
        <v>42</v>
      </c>
      <c r="W14" s="541">
        <f>W146</f>
        <v>134.26049999999998</v>
      </c>
      <c r="X14" s="552">
        <f t="shared" si="2"/>
        <v>289.55962034999993</v>
      </c>
    </row>
    <row r="15" spans="1:24" ht="14.25" customHeight="1" x14ac:dyDescent="0.25">
      <c r="A15" s="339" t="s">
        <v>43</v>
      </c>
      <c r="B15" s="561">
        <f>B146</f>
        <v>6.7788000000000004</v>
      </c>
      <c r="C15" s="327">
        <f t="shared" si="4"/>
        <v>32.089799999999997</v>
      </c>
      <c r="D15" s="327">
        <f t="shared" si="5"/>
        <v>217.53033624</v>
      </c>
      <c r="E15" s="323">
        <v>40.619999999999997</v>
      </c>
      <c r="G15" s="328" t="s">
        <v>43</v>
      </c>
      <c r="H15" s="541">
        <f>H119</f>
        <v>4.1905000000000001</v>
      </c>
      <c r="I15" s="327">
        <f t="shared" si="3"/>
        <v>134.47230689999998</v>
      </c>
      <c r="J15" s="282"/>
      <c r="K15" s="282"/>
      <c r="L15" s="339" t="s">
        <v>43</v>
      </c>
      <c r="M15" s="541">
        <f>M146</f>
        <v>8.648200000000001</v>
      </c>
      <c r="N15" s="327">
        <f t="shared" si="0"/>
        <v>277.51900835999999</v>
      </c>
      <c r="O15" s="282"/>
      <c r="P15" s="282"/>
      <c r="Q15" s="339" t="s">
        <v>43</v>
      </c>
      <c r="R15" s="541">
        <f>R146</f>
        <v>9.2403999999999993</v>
      </c>
      <c r="S15" s="327">
        <f t="shared" si="1"/>
        <v>296.52258791999992</v>
      </c>
      <c r="T15" s="282"/>
      <c r="U15" s="282"/>
      <c r="V15" s="339" t="s">
        <v>43</v>
      </c>
      <c r="W15" s="541">
        <f>W147</f>
        <v>4.1219000000000001</v>
      </c>
      <c r="X15" s="552">
        <f t="shared" si="2"/>
        <v>132.27094661999999</v>
      </c>
    </row>
    <row r="16" spans="1:24" ht="14.25" customHeight="1" x14ac:dyDescent="0.25">
      <c r="A16" s="339" t="s">
        <v>44</v>
      </c>
      <c r="B16" s="562">
        <f>B143</f>
        <v>925.43999999999994</v>
      </c>
      <c r="C16" s="327">
        <f t="shared" si="4"/>
        <v>1.0191000000000001</v>
      </c>
      <c r="D16" s="327">
        <f t="shared" si="5"/>
        <v>943.115904</v>
      </c>
      <c r="E16" s="323">
        <v>1.29</v>
      </c>
      <c r="G16" s="328" t="s">
        <v>44</v>
      </c>
      <c r="H16" s="542">
        <f>H143</f>
        <v>872.88</v>
      </c>
      <c r="I16" s="327">
        <f t="shared" si="3"/>
        <v>889.55200800000011</v>
      </c>
      <c r="J16" s="282"/>
      <c r="K16" s="282"/>
      <c r="L16" s="339" t="s">
        <v>44</v>
      </c>
      <c r="M16" s="542">
        <f>M143</f>
        <v>1116.1600000000001</v>
      </c>
      <c r="N16" s="327">
        <f t="shared" si="0"/>
        <v>1137.4786560000002</v>
      </c>
      <c r="O16" s="282"/>
      <c r="P16" s="282"/>
      <c r="Q16" s="339" t="s">
        <v>44</v>
      </c>
      <c r="R16" s="542">
        <f>R143</f>
        <v>1256.8</v>
      </c>
      <c r="S16" s="327">
        <f t="shared" si="1"/>
        <v>1280.8048800000001</v>
      </c>
      <c r="T16" s="282"/>
      <c r="U16" s="282"/>
      <c r="V16" s="339" t="s">
        <v>44</v>
      </c>
      <c r="W16" s="539">
        <f>W144</f>
        <v>608.24</v>
      </c>
      <c r="X16" s="552">
        <f t="shared" si="2"/>
        <v>619.85738400000002</v>
      </c>
    </row>
    <row r="17" spans="1:24" ht="14.25" customHeight="1" x14ac:dyDescent="0.25">
      <c r="A17" s="339" t="s">
        <v>45</v>
      </c>
      <c r="B17" s="562">
        <f>B144</f>
        <v>1944.3799999999999</v>
      </c>
      <c r="C17" s="327">
        <f t="shared" si="4"/>
        <v>0.60040000000000004</v>
      </c>
      <c r="D17" s="327">
        <f t="shared" si="5"/>
        <v>1167.4057520000001</v>
      </c>
      <c r="E17" s="323">
        <v>0.76</v>
      </c>
      <c r="G17" s="328" t="s">
        <v>45</v>
      </c>
      <c r="H17" s="542">
        <f>H144</f>
        <v>1972.33</v>
      </c>
      <c r="I17" s="327">
        <f t="shared" si="3"/>
        <v>1184.1869320000001</v>
      </c>
      <c r="J17" s="282"/>
      <c r="K17" s="282"/>
      <c r="L17" s="339" t="s">
        <v>45</v>
      </c>
      <c r="M17" s="542">
        <f>M144</f>
        <v>2476.0700000000002</v>
      </c>
      <c r="N17" s="327">
        <f t="shared" si="0"/>
        <v>1486.6324280000001</v>
      </c>
      <c r="O17" s="282"/>
      <c r="P17" s="282"/>
      <c r="Q17" s="339" t="s">
        <v>45</v>
      </c>
      <c r="R17" s="542">
        <f>R144</f>
        <v>2642.47</v>
      </c>
      <c r="S17" s="327">
        <f t="shared" si="1"/>
        <v>1586.538988</v>
      </c>
      <c r="T17" s="282"/>
      <c r="U17" s="282"/>
      <c r="V17" s="339" t="s">
        <v>45</v>
      </c>
      <c r="W17" s="539">
        <f>W145</f>
        <v>1207.81</v>
      </c>
      <c r="X17" s="552">
        <f t="shared" si="2"/>
        <v>725.16912400000001</v>
      </c>
    </row>
    <row r="18" spans="1:24" ht="14.25" customHeight="1" x14ac:dyDescent="0.25">
      <c r="A18" s="339" t="s">
        <v>767</v>
      </c>
      <c r="B18" s="562">
        <f>Producto!B18</f>
        <v>198.55500000000001</v>
      </c>
      <c r="C18" s="327">
        <f t="shared" si="4"/>
        <v>15.792099999999998</v>
      </c>
      <c r="D18" s="327">
        <f t="shared" si="5"/>
        <v>3135.6004154999996</v>
      </c>
      <c r="E18" s="323">
        <v>19.989999999999998</v>
      </c>
      <c r="G18" s="339" t="s">
        <v>767</v>
      </c>
      <c r="H18" s="542">
        <f>Producto!G18</f>
        <v>182.50050000000002</v>
      </c>
      <c r="I18" s="327">
        <f t="shared" si="3"/>
        <v>2882.06614605</v>
      </c>
      <c r="J18" s="282"/>
      <c r="K18" s="282"/>
      <c r="L18" s="339"/>
      <c r="M18" s="542">
        <f>Producto!L18</f>
        <v>243.23250000000002</v>
      </c>
      <c r="N18" s="327">
        <f t="shared" si="0"/>
        <v>3841.1519632499999</v>
      </c>
      <c r="O18" s="282"/>
      <c r="P18" s="282"/>
      <c r="Q18" s="339"/>
      <c r="R18" s="542">
        <f>Producto!Q18</f>
        <v>266.71050000000002</v>
      </c>
      <c r="S18" s="327">
        <f t="shared" si="1"/>
        <v>4211.9188870500002</v>
      </c>
      <c r="T18" s="282"/>
      <c r="U18" s="282"/>
      <c r="V18" s="339"/>
      <c r="W18" s="542">
        <f>Producto!V18</f>
        <v>137.22450000000001</v>
      </c>
      <c r="X18" s="552">
        <f t="shared" si="2"/>
        <v>2167.0630264499996</v>
      </c>
    </row>
    <row r="19" spans="1:24" ht="14.25" customHeight="1" x14ac:dyDescent="0.25">
      <c r="A19" s="339" t="s">
        <v>768</v>
      </c>
      <c r="B19" s="562">
        <f>Producto!B19</f>
        <v>178.6995</v>
      </c>
      <c r="C19" s="327">
        <f t="shared" si="4"/>
        <v>0.63990000000000002</v>
      </c>
      <c r="D19" s="327">
        <f t="shared" si="5"/>
        <v>114.34981005</v>
      </c>
      <c r="E19" s="323">
        <v>0.81</v>
      </c>
      <c r="G19" s="339" t="s">
        <v>768</v>
      </c>
      <c r="H19" s="542">
        <f>Producto!G19</f>
        <v>164.25045000000003</v>
      </c>
      <c r="I19" s="327">
        <f t="shared" si="3"/>
        <v>105.10386295500003</v>
      </c>
      <c r="J19" s="282"/>
      <c r="K19" s="282"/>
      <c r="L19" s="339"/>
      <c r="M19" s="542">
        <f>Producto!L19</f>
        <v>218.90925000000001</v>
      </c>
      <c r="N19" s="327">
        <f t="shared" si="0"/>
        <v>140.08002907500003</v>
      </c>
      <c r="O19" s="282"/>
      <c r="P19" s="282"/>
      <c r="Q19" s="339"/>
      <c r="R19" s="542">
        <f>Producto!Q19</f>
        <v>240.03945000000002</v>
      </c>
      <c r="S19" s="327">
        <f t="shared" si="1"/>
        <v>153.60124405500002</v>
      </c>
      <c r="T19" s="282"/>
      <c r="U19" s="282"/>
      <c r="V19" s="339"/>
      <c r="W19" s="542">
        <f>Producto!V19</f>
        <v>123.50205000000001</v>
      </c>
      <c r="X19" s="552">
        <f t="shared" si="2"/>
        <v>79.028961795000015</v>
      </c>
    </row>
    <row r="20" spans="1:24" ht="14.25" customHeight="1" x14ac:dyDescent="0.25">
      <c r="A20" s="339" t="s">
        <v>769</v>
      </c>
      <c r="B20" s="562">
        <f>Producto!B20</f>
        <v>132.26</v>
      </c>
      <c r="C20" s="327">
        <f t="shared" si="4"/>
        <v>3.0257000000000001</v>
      </c>
      <c r="D20" s="327">
        <f t="shared" si="5"/>
        <v>400.17908199999999</v>
      </c>
      <c r="E20" s="323">
        <v>3.83</v>
      </c>
      <c r="G20" s="339" t="s">
        <v>769</v>
      </c>
      <c r="H20" s="542">
        <f>Producto!G20</f>
        <v>134.41</v>
      </c>
      <c r="I20" s="327">
        <f t="shared" si="3"/>
        <v>406.68433699999997</v>
      </c>
      <c r="J20" s="282"/>
      <c r="K20" s="282"/>
      <c r="L20" s="339"/>
      <c r="M20" s="542">
        <f>Producto!L20</f>
        <v>167.39000000000001</v>
      </c>
      <c r="N20" s="327">
        <f t="shared" si="0"/>
        <v>506.47192300000006</v>
      </c>
      <c r="O20" s="282"/>
      <c r="P20" s="282"/>
      <c r="Q20" s="339"/>
      <c r="R20" s="542">
        <f>Producto!Q20</f>
        <v>180.19</v>
      </c>
      <c r="S20" s="327">
        <f t="shared" si="1"/>
        <v>545.20088299999998</v>
      </c>
      <c r="T20" s="282"/>
      <c r="U20" s="282"/>
      <c r="V20" s="339"/>
      <c r="W20" s="542">
        <f>Producto!V20</f>
        <v>81.37</v>
      </c>
      <c r="X20" s="552">
        <f t="shared" si="2"/>
        <v>246.20120900000001</v>
      </c>
    </row>
    <row r="21" spans="1:24" ht="14.25" customHeight="1" x14ac:dyDescent="0.25">
      <c r="A21" s="339" t="s">
        <v>770</v>
      </c>
      <c r="B21" s="562">
        <f>Producto!B21</f>
        <v>45</v>
      </c>
      <c r="C21" s="327">
        <f t="shared" si="4"/>
        <v>39.420999999999999</v>
      </c>
      <c r="D21" s="327">
        <f t="shared" si="5"/>
        <v>1773.9449999999999</v>
      </c>
      <c r="E21" s="323">
        <v>49.9</v>
      </c>
      <c r="G21" s="339" t="s">
        <v>770</v>
      </c>
      <c r="H21" s="542">
        <f>Producto!G21</f>
        <v>45</v>
      </c>
      <c r="I21" s="327">
        <f t="shared" si="3"/>
        <v>1773.9449999999999</v>
      </c>
      <c r="J21" s="282"/>
      <c r="K21" s="282"/>
      <c r="L21" s="339"/>
      <c r="M21" s="542">
        <f>Producto!L21</f>
        <v>60</v>
      </c>
      <c r="N21" s="327">
        <f t="shared" si="0"/>
        <v>2365.2599999999998</v>
      </c>
      <c r="O21" s="282"/>
      <c r="P21" s="282"/>
      <c r="Q21" s="339"/>
      <c r="R21" s="542">
        <f>Producto!Q21</f>
        <v>60</v>
      </c>
      <c r="S21" s="327">
        <f t="shared" si="1"/>
        <v>2365.2599999999998</v>
      </c>
      <c r="T21" s="282"/>
      <c r="U21" s="282"/>
      <c r="V21" s="339"/>
      <c r="W21" s="542">
        <f>Producto!V21</f>
        <v>30</v>
      </c>
      <c r="X21" s="552">
        <f t="shared" si="2"/>
        <v>1182.6299999999999</v>
      </c>
    </row>
    <row r="22" spans="1:24" ht="14.25" customHeight="1" x14ac:dyDescent="0.25">
      <c r="A22" s="339" t="s">
        <v>48</v>
      </c>
      <c r="B22" s="559">
        <f>B157</f>
        <v>160.68</v>
      </c>
      <c r="C22" s="327">
        <f t="shared" si="4"/>
        <v>284.34469999999999</v>
      </c>
      <c r="D22" s="327">
        <f t="shared" si="5"/>
        <v>45688.506395999997</v>
      </c>
      <c r="E22" s="323">
        <v>359.93</v>
      </c>
      <c r="G22" s="328" t="s">
        <v>334</v>
      </c>
      <c r="H22" s="539">
        <f>H157</f>
        <v>154.11000000000001</v>
      </c>
      <c r="I22" s="327">
        <f t="shared" si="3"/>
        <v>43820.361717</v>
      </c>
      <c r="J22" s="282"/>
      <c r="K22" s="282"/>
      <c r="L22" s="339" t="s">
        <v>334</v>
      </c>
      <c r="M22" s="539">
        <f>M157</f>
        <v>199.52</v>
      </c>
      <c r="N22" s="327">
        <f t="shared" si="0"/>
        <v>56732.454544</v>
      </c>
      <c r="O22" s="282"/>
      <c r="P22" s="282"/>
      <c r="Q22" s="339" t="s">
        <v>334</v>
      </c>
      <c r="R22" s="539">
        <f>R157</f>
        <v>217.1</v>
      </c>
      <c r="S22" s="327">
        <f t="shared" si="1"/>
        <v>61731.234369999998</v>
      </c>
      <c r="T22" s="282"/>
      <c r="U22" s="282"/>
      <c r="V22" s="339" t="s">
        <v>334</v>
      </c>
      <c r="W22" s="539">
        <f>W158</f>
        <v>106.03</v>
      </c>
      <c r="X22" s="552">
        <f t="shared" si="2"/>
        <v>30149.068541000001</v>
      </c>
    </row>
    <row r="23" spans="1:24" ht="14.25" customHeight="1" x14ac:dyDescent="0.25">
      <c r="A23" s="339" t="s">
        <v>57</v>
      </c>
      <c r="B23" s="561">
        <f>B147</f>
        <v>124.97199999999998</v>
      </c>
      <c r="C23" s="327">
        <f t="shared" si="4"/>
        <v>251.05410000000001</v>
      </c>
      <c r="D23" s="327">
        <f t="shared" si="5"/>
        <v>31374.732985199997</v>
      </c>
      <c r="E23" s="323">
        <v>317.79000000000002</v>
      </c>
      <c r="G23" s="328" t="s">
        <v>57</v>
      </c>
      <c r="H23" s="541">
        <f>H147</f>
        <v>127.0295</v>
      </c>
      <c r="I23" s="327">
        <f t="shared" si="3"/>
        <v>31891.276795950002</v>
      </c>
      <c r="J23" s="282"/>
      <c r="K23" s="282"/>
      <c r="L23" s="339" t="s">
        <v>57</v>
      </c>
      <c r="M23" s="541">
        <f>M147</f>
        <v>157.09400000000002</v>
      </c>
      <c r="N23" s="327">
        <f t="shared" si="0"/>
        <v>39439.092785400004</v>
      </c>
      <c r="O23" s="282"/>
      <c r="P23" s="282"/>
      <c r="Q23" s="339" t="s">
        <v>57</v>
      </c>
      <c r="R23" s="539">
        <f>R147</f>
        <v>172.095</v>
      </c>
      <c r="S23" s="327">
        <f t="shared" si="1"/>
        <v>43205.155339500001</v>
      </c>
      <c r="T23" s="282"/>
      <c r="U23" s="282"/>
      <c r="V23" s="339" t="s">
        <v>57</v>
      </c>
      <c r="W23" s="541">
        <f>W148</f>
        <v>75.341500000000011</v>
      </c>
      <c r="X23" s="552">
        <f t="shared" si="2"/>
        <v>18914.792475150003</v>
      </c>
    </row>
    <row r="24" spans="1:24" ht="14.25" customHeight="1" x14ac:dyDescent="0.25">
      <c r="A24" s="339" t="s">
        <v>62</v>
      </c>
      <c r="B24" s="559">
        <f>B149</f>
        <v>45</v>
      </c>
      <c r="C24" s="327">
        <f t="shared" si="4"/>
        <v>560.9</v>
      </c>
      <c r="D24" s="327">
        <f t="shared" si="5"/>
        <v>25240.5</v>
      </c>
      <c r="E24" s="323">
        <v>710</v>
      </c>
      <c r="G24" s="328" t="s">
        <v>62</v>
      </c>
      <c r="H24" s="539">
        <f>H149</f>
        <v>45</v>
      </c>
      <c r="I24" s="327">
        <f t="shared" si="3"/>
        <v>25240.5</v>
      </c>
      <c r="J24" s="282"/>
      <c r="K24" s="282"/>
      <c r="L24" s="339" t="s">
        <v>62</v>
      </c>
      <c r="M24" s="539">
        <f>M149</f>
        <v>60</v>
      </c>
      <c r="N24" s="327">
        <f t="shared" si="0"/>
        <v>33654</v>
      </c>
      <c r="O24" s="282"/>
      <c r="P24" s="282"/>
      <c r="Q24" s="339" t="s">
        <v>62</v>
      </c>
      <c r="R24" s="539">
        <f>R149</f>
        <v>60</v>
      </c>
      <c r="S24" s="327">
        <f t="shared" si="1"/>
        <v>33654</v>
      </c>
      <c r="T24" s="282"/>
      <c r="U24" s="282"/>
      <c r="V24" s="339" t="s">
        <v>62</v>
      </c>
      <c r="W24" s="539">
        <f>W150</f>
        <v>30</v>
      </c>
      <c r="X24" s="552">
        <f t="shared" si="2"/>
        <v>16827</v>
      </c>
    </row>
    <row r="25" spans="1:24" ht="14.25" customHeight="1" x14ac:dyDescent="0.25">
      <c r="A25" s="339" t="s">
        <v>63</v>
      </c>
      <c r="B25" s="559">
        <f>B151</f>
        <v>54.77</v>
      </c>
      <c r="C25" s="327">
        <f t="shared" si="4"/>
        <v>72.569400000000002</v>
      </c>
      <c r="D25" s="327">
        <f t="shared" si="5"/>
        <v>3974.6260380000003</v>
      </c>
      <c r="E25" s="323">
        <v>91.86</v>
      </c>
      <c r="G25" s="328" t="s">
        <v>63</v>
      </c>
      <c r="H25" s="539">
        <f>H151</f>
        <v>64.209999999999994</v>
      </c>
      <c r="I25" s="327">
        <f t="shared" si="3"/>
        <v>4659.6811739999994</v>
      </c>
      <c r="J25" s="282"/>
      <c r="K25" s="282"/>
      <c r="L25" s="339" t="s">
        <v>63</v>
      </c>
      <c r="M25" s="539">
        <f>M151</f>
        <v>67.459999999999994</v>
      </c>
      <c r="N25" s="327">
        <f t="shared" si="0"/>
        <v>4895.5317239999995</v>
      </c>
      <c r="O25" s="282"/>
      <c r="P25" s="282"/>
      <c r="Q25" s="339" t="s">
        <v>63</v>
      </c>
      <c r="R25" s="539">
        <f>R151</f>
        <v>70.040000000000006</v>
      </c>
      <c r="S25" s="327">
        <f t="shared" si="1"/>
        <v>5082.760776000001</v>
      </c>
      <c r="T25" s="282"/>
      <c r="U25" s="282"/>
      <c r="V25" s="339" t="s">
        <v>63</v>
      </c>
      <c r="W25" s="539">
        <f>W152</f>
        <v>32.19</v>
      </c>
      <c r="X25" s="552">
        <f t="shared" si="2"/>
        <v>2336.0089859999998</v>
      </c>
    </row>
    <row r="26" spans="1:24" ht="14.25" customHeight="1" x14ac:dyDescent="0.25">
      <c r="A26" s="339" t="s">
        <v>65</v>
      </c>
      <c r="B26" s="559">
        <v>3.5</v>
      </c>
      <c r="C26" s="327">
        <f t="shared" si="4"/>
        <v>869</v>
      </c>
      <c r="D26" s="327">
        <f t="shared" si="5"/>
        <v>3041.5</v>
      </c>
      <c r="E26" s="323">
        <v>1100</v>
      </c>
      <c r="G26" s="328" t="s">
        <v>65</v>
      </c>
      <c r="H26" s="539">
        <v>3.5</v>
      </c>
      <c r="I26" s="327">
        <f t="shared" si="3"/>
        <v>3041.5</v>
      </c>
      <c r="J26" s="282"/>
      <c r="K26" s="282"/>
      <c r="L26" s="339" t="s">
        <v>65</v>
      </c>
      <c r="M26" s="539">
        <v>3.5</v>
      </c>
      <c r="N26" s="327">
        <f t="shared" si="0"/>
        <v>3041.5</v>
      </c>
      <c r="O26" s="282"/>
      <c r="P26" s="282"/>
      <c r="Q26" s="339" t="s">
        <v>65</v>
      </c>
      <c r="R26" s="539">
        <v>3.5</v>
      </c>
      <c r="S26" s="327">
        <f t="shared" si="1"/>
        <v>3041.5</v>
      </c>
      <c r="T26" s="282"/>
      <c r="U26" s="282"/>
      <c r="V26" s="339" t="s">
        <v>65</v>
      </c>
      <c r="W26" s="539">
        <v>2.31</v>
      </c>
      <c r="X26" s="552">
        <f t="shared" si="2"/>
        <v>2007.39</v>
      </c>
    </row>
    <row r="27" spans="1:24" ht="14.25" customHeight="1" x14ac:dyDescent="0.25">
      <c r="A27" s="339" t="s">
        <v>66</v>
      </c>
      <c r="B27" s="559">
        <v>6.9</v>
      </c>
      <c r="C27" s="327">
        <f t="shared" si="4"/>
        <v>405.3648</v>
      </c>
      <c r="D27" s="327">
        <f t="shared" si="5"/>
        <v>2797.01712</v>
      </c>
      <c r="E27" s="323">
        <v>513.12</v>
      </c>
      <c r="G27" s="328" t="s">
        <v>66</v>
      </c>
      <c r="H27" s="539">
        <v>6.87</v>
      </c>
      <c r="I27" s="327">
        <f t="shared" si="3"/>
        <v>2784.8561760000002</v>
      </c>
      <c r="J27" s="282"/>
      <c r="K27" s="282"/>
      <c r="L27" s="339" t="s">
        <v>66</v>
      </c>
      <c r="M27" s="539">
        <v>6.77</v>
      </c>
      <c r="N27" s="327">
        <f t="shared" si="0"/>
        <v>2744.319696</v>
      </c>
      <c r="O27" s="282"/>
      <c r="P27" s="282"/>
      <c r="Q27" s="339" t="s">
        <v>66</v>
      </c>
      <c r="R27" s="539">
        <v>6.5</v>
      </c>
      <c r="S27" s="327">
        <f t="shared" si="1"/>
        <v>2634.8712</v>
      </c>
      <c r="T27" s="282"/>
      <c r="U27" s="282"/>
      <c r="V27" s="339" t="s">
        <v>66</v>
      </c>
      <c r="W27" s="539">
        <v>4.97</v>
      </c>
      <c r="X27" s="552">
        <f t="shared" si="2"/>
        <v>2014.6630559999999</v>
      </c>
    </row>
    <row r="28" spans="1:24" ht="14.25" customHeight="1" x14ac:dyDescent="0.25">
      <c r="A28" s="339" t="s">
        <v>69</v>
      </c>
      <c r="B28" s="559">
        <f>(B26+B27+B61)*$B$186</f>
        <v>60.480000000000004</v>
      </c>
      <c r="C28" s="327">
        <f t="shared" si="4"/>
        <v>119.13990000000001</v>
      </c>
      <c r="D28" s="327">
        <f t="shared" si="5"/>
        <v>7205.5811520000016</v>
      </c>
      <c r="E28" s="323">
        <v>150.81</v>
      </c>
      <c r="G28" s="328" t="s">
        <v>69</v>
      </c>
      <c r="H28" s="539">
        <f>(H26+H27+H61)*$B$186</f>
        <v>54.88</v>
      </c>
      <c r="I28" s="327">
        <f t="shared" si="3"/>
        <v>6538.3977120000009</v>
      </c>
      <c r="J28" s="282"/>
      <c r="K28" s="282"/>
      <c r="L28" s="339" t="s">
        <v>69</v>
      </c>
      <c r="M28" s="539">
        <f>(M26+M27+M61)*$B$186</f>
        <v>59.879999999999995</v>
      </c>
      <c r="N28" s="327">
        <f t="shared" si="0"/>
        <v>7134.0972120000006</v>
      </c>
      <c r="O28" s="282"/>
      <c r="P28" s="282"/>
      <c r="Q28" s="339" t="s">
        <v>69</v>
      </c>
      <c r="R28" s="539">
        <f>(R26+R27+R61)*$B$186</f>
        <v>54.6</v>
      </c>
      <c r="S28" s="327">
        <f t="shared" si="1"/>
        <v>6505.0385400000005</v>
      </c>
      <c r="T28" s="282"/>
      <c r="U28" s="282"/>
      <c r="V28" s="339" t="s">
        <v>69</v>
      </c>
      <c r="W28" s="539">
        <f>(W26+W27+W61)*$B$186</f>
        <v>37.08</v>
      </c>
      <c r="X28" s="552">
        <f t="shared" si="2"/>
        <v>4417.7074920000005</v>
      </c>
    </row>
    <row r="29" spans="1:24" ht="14.25" customHeight="1" x14ac:dyDescent="0.25">
      <c r="A29" s="339" t="s">
        <v>74</v>
      </c>
      <c r="B29" s="561">
        <f>(B26+B27+B61)*$B$187</f>
        <v>5.8968000000000007</v>
      </c>
      <c r="C29" s="327">
        <f t="shared" si="4"/>
        <v>53.830600000000004</v>
      </c>
      <c r="D29" s="327">
        <f t="shared" si="5"/>
        <v>317.42828208000009</v>
      </c>
      <c r="E29" s="323">
        <v>68.14</v>
      </c>
      <c r="G29" s="328" t="s">
        <v>74</v>
      </c>
      <c r="H29" s="541">
        <f>(H26+H27+H61)*$B$187</f>
        <v>5.3508000000000004</v>
      </c>
      <c r="I29" s="327">
        <f t="shared" si="3"/>
        <v>288.03677448000002</v>
      </c>
      <c r="J29" s="282"/>
      <c r="K29" s="282"/>
      <c r="L29" s="339" t="s">
        <v>74</v>
      </c>
      <c r="M29" s="541">
        <f>(M26+M27+M61)*$B$187</f>
        <v>5.8382999999999994</v>
      </c>
      <c r="N29" s="327">
        <f t="shared" si="0"/>
        <v>314.27919198000001</v>
      </c>
      <c r="O29" s="282"/>
      <c r="P29" s="282"/>
      <c r="Q29" s="339" t="s">
        <v>74</v>
      </c>
      <c r="R29" s="541">
        <f>(R26+R27+R61)*$B$187</f>
        <v>5.3235000000000001</v>
      </c>
      <c r="S29" s="327">
        <f t="shared" si="1"/>
        <v>286.56719910000004</v>
      </c>
      <c r="T29" s="282"/>
      <c r="U29" s="282"/>
      <c r="V29" s="339" t="s">
        <v>74</v>
      </c>
      <c r="W29" s="541">
        <f>(W26+W27+W61)*$B$187</f>
        <v>3.6153</v>
      </c>
      <c r="X29" s="552">
        <f t="shared" si="2"/>
        <v>194.61376818000002</v>
      </c>
    </row>
    <row r="30" spans="1:24" ht="14.25" customHeight="1" x14ac:dyDescent="0.25">
      <c r="A30" s="339" t="s">
        <v>75</v>
      </c>
      <c r="B30" s="559">
        <v>4.3</v>
      </c>
      <c r="C30" s="327">
        <f t="shared" si="4"/>
        <v>810.85600000000011</v>
      </c>
      <c r="D30" s="327">
        <f t="shared" si="5"/>
        <v>3486.6808000000005</v>
      </c>
      <c r="E30" s="323">
        <v>1026.4000000000001</v>
      </c>
      <c r="G30" s="328" t="s">
        <v>77</v>
      </c>
      <c r="H30" s="539">
        <v>2.7</v>
      </c>
      <c r="I30" s="327">
        <f t="shared" si="3"/>
        <v>2189.3112000000006</v>
      </c>
      <c r="J30" s="282"/>
      <c r="K30" s="282"/>
      <c r="L30" s="339" t="s">
        <v>77</v>
      </c>
      <c r="M30" s="539">
        <v>5.2</v>
      </c>
      <c r="N30" s="327">
        <f t="shared" si="0"/>
        <v>4216.4512000000004</v>
      </c>
      <c r="O30" s="282"/>
      <c r="P30" s="282"/>
      <c r="Q30" s="339" t="s">
        <v>77</v>
      </c>
      <c r="R30" s="539">
        <v>15.65</v>
      </c>
      <c r="S30" s="327">
        <f t="shared" si="1"/>
        <v>12689.896400000001</v>
      </c>
      <c r="T30" s="282"/>
      <c r="U30" s="282"/>
      <c r="V30" s="339" t="s">
        <v>77</v>
      </c>
      <c r="W30" s="539">
        <v>8.77</v>
      </c>
      <c r="X30" s="552">
        <f t="shared" si="2"/>
        <v>7111.2071200000009</v>
      </c>
    </row>
    <row r="31" spans="1:24" ht="14.25" customHeight="1" x14ac:dyDescent="0.25">
      <c r="A31" s="535" t="s">
        <v>80</v>
      </c>
      <c r="B31" s="560"/>
      <c r="C31" s="333"/>
      <c r="D31" s="329"/>
      <c r="E31" s="330"/>
      <c r="F31" s="331"/>
      <c r="G31" s="332"/>
      <c r="H31" s="540"/>
      <c r="I31" s="333"/>
      <c r="J31" s="334"/>
      <c r="K31" s="334"/>
      <c r="L31" s="534"/>
      <c r="M31" s="540"/>
      <c r="N31" s="333"/>
      <c r="O31" s="334"/>
      <c r="P31" s="334"/>
      <c r="Q31" s="534"/>
      <c r="R31" s="540"/>
      <c r="S31" s="333"/>
      <c r="T31" s="334"/>
      <c r="U31" s="334"/>
      <c r="V31" s="534"/>
      <c r="W31" s="540"/>
      <c r="X31" s="553"/>
    </row>
    <row r="32" spans="1:24" ht="14.25" customHeight="1" x14ac:dyDescent="0.25">
      <c r="A32" s="339" t="s">
        <v>82</v>
      </c>
      <c r="B32" s="559">
        <v>1</v>
      </c>
      <c r="C32" s="327">
        <f t="shared" si="4"/>
        <v>221.2</v>
      </c>
      <c r="D32" s="327">
        <f t="shared" ref="D32:D47" si="6">B32*C32</f>
        <v>221.2</v>
      </c>
      <c r="E32" s="323">
        <v>280</v>
      </c>
      <c r="G32" s="328" t="s">
        <v>82</v>
      </c>
      <c r="H32" s="539">
        <v>1</v>
      </c>
      <c r="I32" s="327">
        <f>H32*C32</f>
        <v>221.2</v>
      </c>
      <c r="J32" s="282"/>
      <c r="K32" s="282"/>
      <c r="L32" s="339" t="s">
        <v>82</v>
      </c>
      <c r="M32" s="539">
        <v>1</v>
      </c>
      <c r="N32" s="327">
        <f t="shared" si="0"/>
        <v>221.2</v>
      </c>
      <c r="O32" s="282"/>
      <c r="P32" s="282"/>
      <c r="Q32" s="339" t="s">
        <v>82</v>
      </c>
      <c r="R32" s="539">
        <v>1</v>
      </c>
      <c r="S32" s="327">
        <f t="shared" si="1"/>
        <v>221.2</v>
      </c>
      <c r="T32" s="282"/>
      <c r="U32" s="282"/>
      <c r="V32" s="339" t="s">
        <v>82</v>
      </c>
      <c r="W32" s="539">
        <v>1</v>
      </c>
      <c r="X32" s="552">
        <f t="shared" si="2"/>
        <v>221.2</v>
      </c>
    </row>
    <row r="33" spans="1:24" ht="14.25" customHeight="1" x14ac:dyDescent="0.25">
      <c r="A33" s="339" t="s">
        <v>84</v>
      </c>
      <c r="B33" s="559">
        <v>1</v>
      </c>
      <c r="C33" s="327">
        <f t="shared" si="4"/>
        <v>9085</v>
      </c>
      <c r="D33" s="327">
        <f t="shared" si="6"/>
        <v>9085</v>
      </c>
      <c r="E33" s="323">
        <v>11500</v>
      </c>
      <c r="G33" s="328" t="s">
        <v>84</v>
      </c>
      <c r="H33" s="539">
        <v>1</v>
      </c>
      <c r="I33" s="327">
        <f>H33*C33</f>
        <v>9085</v>
      </c>
      <c r="J33" s="282"/>
      <c r="K33" s="282"/>
      <c r="L33" s="339" t="s">
        <v>84</v>
      </c>
      <c r="M33" s="539">
        <v>1</v>
      </c>
      <c r="N33" s="327">
        <f t="shared" si="0"/>
        <v>9085</v>
      </c>
      <c r="O33" s="282"/>
      <c r="P33" s="282"/>
      <c r="Q33" s="339" t="s">
        <v>84</v>
      </c>
      <c r="R33" s="539">
        <v>1</v>
      </c>
      <c r="S33" s="327">
        <f t="shared" si="1"/>
        <v>9085</v>
      </c>
      <c r="T33" s="282"/>
      <c r="U33" s="282"/>
      <c r="V33" s="339" t="s">
        <v>84</v>
      </c>
      <c r="W33" s="539">
        <v>1</v>
      </c>
      <c r="X33" s="552">
        <f t="shared" si="2"/>
        <v>9085</v>
      </c>
    </row>
    <row r="34" spans="1:24" ht="14.25" customHeight="1" x14ac:dyDescent="0.25">
      <c r="A34" s="339" t="s">
        <v>86</v>
      </c>
      <c r="B34" s="559">
        <f>B43*5</f>
        <v>233.64999999999998</v>
      </c>
      <c r="C34" s="327">
        <f t="shared" si="4"/>
        <v>7.3470000000000004</v>
      </c>
      <c r="D34" s="327">
        <f t="shared" si="6"/>
        <v>1716.62655</v>
      </c>
      <c r="E34" s="323">
        <v>9.3000000000000007</v>
      </c>
      <c r="G34" s="328" t="s">
        <v>86</v>
      </c>
      <c r="H34" s="539">
        <f>H43*5</f>
        <v>215.15</v>
      </c>
      <c r="I34" s="327">
        <f>H34*C34</f>
        <v>1580.7070500000002</v>
      </c>
      <c r="J34" s="282"/>
      <c r="K34" s="282"/>
      <c r="L34" s="339" t="s">
        <v>86</v>
      </c>
      <c r="M34" s="539">
        <f>M43*5</f>
        <v>259</v>
      </c>
      <c r="N34" s="327">
        <f t="shared" si="0"/>
        <v>1902.873</v>
      </c>
      <c r="O34" s="282"/>
      <c r="P34" s="282"/>
      <c r="Q34" s="339" t="s">
        <v>86</v>
      </c>
      <c r="R34" s="539">
        <f>R43*5</f>
        <v>289</v>
      </c>
      <c r="S34" s="327">
        <f t="shared" si="1"/>
        <v>2123.2829999999999</v>
      </c>
      <c r="T34" s="282"/>
      <c r="U34" s="282"/>
      <c r="V34" s="339" t="s">
        <v>86</v>
      </c>
      <c r="W34" s="539">
        <f>W43*5</f>
        <v>139.19999999999999</v>
      </c>
      <c r="X34" s="552">
        <f t="shared" si="2"/>
        <v>1022.7024</v>
      </c>
    </row>
    <row r="35" spans="1:24" ht="14.25" customHeight="1" x14ac:dyDescent="0.25">
      <c r="A35" s="339" t="s">
        <v>90</v>
      </c>
      <c r="B35" s="559">
        <v>1</v>
      </c>
      <c r="C35" s="335">
        <f t="shared" si="4"/>
        <v>738.65</v>
      </c>
      <c r="D35" s="327">
        <f t="shared" si="6"/>
        <v>738.65</v>
      </c>
      <c r="E35" s="323">
        <v>935</v>
      </c>
      <c r="G35" s="328" t="s">
        <v>90</v>
      </c>
      <c r="H35" s="539">
        <v>1</v>
      </c>
      <c r="I35" s="327">
        <f t="shared" ref="I35:I101" si="7">H35*C35</f>
        <v>738.65</v>
      </c>
      <c r="J35" s="282"/>
      <c r="K35" s="282"/>
      <c r="L35" s="339" t="s">
        <v>90</v>
      </c>
      <c r="M35" s="539">
        <v>1</v>
      </c>
      <c r="N35" s="327">
        <f t="shared" si="0"/>
        <v>738.65</v>
      </c>
      <c r="O35" s="282"/>
      <c r="P35" s="282"/>
      <c r="Q35" s="339" t="s">
        <v>90</v>
      </c>
      <c r="R35" s="539">
        <v>1</v>
      </c>
      <c r="S35" s="327">
        <f t="shared" si="1"/>
        <v>738.65</v>
      </c>
      <c r="T35" s="282"/>
      <c r="U35" s="282"/>
      <c r="V35" s="339" t="s">
        <v>90</v>
      </c>
      <c r="W35" s="539">
        <v>1</v>
      </c>
      <c r="X35" s="552">
        <f t="shared" si="2"/>
        <v>738.65</v>
      </c>
    </row>
    <row r="36" spans="1:24" ht="14.25" customHeight="1" x14ac:dyDescent="0.25">
      <c r="A36" s="339" t="s">
        <v>92</v>
      </c>
      <c r="B36" s="559">
        <v>1</v>
      </c>
      <c r="C36" s="335">
        <f t="shared" si="4"/>
        <v>3110.0878000000002</v>
      </c>
      <c r="D36" s="327">
        <f t="shared" si="6"/>
        <v>3110.0878000000002</v>
      </c>
      <c r="E36" s="323">
        <v>3936.82</v>
      </c>
      <c r="G36" s="328" t="s">
        <v>92</v>
      </c>
      <c r="H36" s="539">
        <v>1</v>
      </c>
      <c r="I36" s="327">
        <f t="shared" si="7"/>
        <v>3110.0878000000002</v>
      </c>
      <c r="J36" s="282"/>
      <c r="K36" s="282"/>
      <c r="L36" s="339" t="s">
        <v>92</v>
      </c>
      <c r="M36" s="539">
        <v>1</v>
      </c>
      <c r="N36" s="327">
        <f t="shared" si="0"/>
        <v>3110.0878000000002</v>
      </c>
      <c r="O36" s="282"/>
      <c r="P36" s="282"/>
      <c r="Q36" s="339" t="s">
        <v>92</v>
      </c>
      <c r="R36" s="539">
        <v>1</v>
      </c>
      <c r="S36" s="327">
        <f t="shared" si="1"/>
        <v>3110.0878000000002</v>
      </c>
      <c r="T36" s="282"/>
      <c r="U36" s="282"/>
      <c r="V36" s="339" t="s">
        <v>92</v>
      </c>
      <c r="W36" s="539">
        <v>1</v>
      </c>
      <c r="X36" s="552">
        <f t="shared" si="2"/>
        <v>3110.0878000000002</v>
      </c>
    </row>
    <row r="37" spans="1:24" ht="14.25" customHeight="1" x14ac:dyDescent="0.25">
      <c r="A37" s="339" t="s">
        <v>96</v>
      </c>
      <c r="B37" s="559">
        <v>22</v>
      </c>
      <c r="C37" s="327">
        <f t="shared" si="4"/>
        <v>18.485999999999997</v>
      </c>
      <c r="D37" s="327">
        <f t="shared" si="6"/>
        <v>406.69199999999995</v>
      </c>
      <c r="E37" s="323">
        <v>23.4</v>
      </c>
      <c r="G37" s="328" t="s">
        <v>96</v>
      </c>
      <c r="H37" s="539">
        <v>18</v>
      </c>
      <c r="I37" s="327">
        <f t="shared" si="7"/>
        <v>332.74799999999993</v>
      </c>
      <c r="J37" s="282"/>
      <c r="K37" s="282"/>
      <c r="L37" s="339" t="s">
        <v>96</v>
      </c>
      <c r="M37" s="539">
        <v>23</v>
      </c>
      <c r="N37" s="327">
        <f t="shared" si="0"/>
        <v>425.17799999999994</v>
      </c>
      <c r="O37" s="282"/>
      <c r="P37" s="282"/>
      <c r="Q37" s="339" t="s">
        <v>96</v>
      </c>
      <c r="R37" s="539">
        <v>26</v>
      </c>
      <c r="S37" s="327">
        <f t="shared" si="1"/>
        <v>480.63599999999991</v>
      </c>
      <c r="T37" s="282"/>
      <c r="U37" s="282"/>
      <c r="V37" s="339" t="s">
        <v>96</v>
      </c>
      <c r="W37" s="539">
        <v>14</v>
      </c>
      <c r="X37" s="552">
        <f t="shared" si="2"/>
        <v>258.80399999999997</v>
      </c>
    </row>
    <row r="38" spans="1:24" ht="14.25" customHeight="1" x14ac:dyDescent="0.25">
      <c r="A38" s="339" t="s">
        <v>100</v>
      </c>
      <c r="B38" s="559">
        <v>5</v>
      </c>
      <c r="C38" s="327">
        <f t="shared" si="4"/>
        <v>18.485999999999997</v>
      </c>
      <c r="D38" s="327">
        <f t="shared" si="6"/>
        <v>92.429999999999978</v>
      </c>
      <c r="E38" s="323">
        <v>23.4</v>
      </c>
      <c r="G38" s="328" t="s">
        <v>100</v>
      </c>
      <c r="H38" s="539">
        <v>4</v>
      </c>
      <c r="I38" s="327">
        <f t="shared" si="7"/>
        <v>73.943999999999988</v>
      </c>
      <c r="J38" s="282"/>
      <c r="K38" s="282"/>
      <c r="L38" s="339" t="s">
        <v>100</v>
      </c>
      <c r="M38" s="539">
        <v>5</v>
      </c>
      <c r="N38" s="327">
        <f t="shared" si="0"/>
        <v>92.429999999999978</v>
      </c>
      <c r="O38" s="282"/>
      <c r="P38" s="282"/>
      <c r="Q38" s="339" t="s">
        <v>100</v>
      </c>
      <c r="R38" s="539">
        <v>6</v>
      </c>
      <c r="S38" s="327">
        <f t="shared" si="1"/>
        <v>110.91599999999998</v>
      </c>
      <c r="T38" s="282"/>
      <c r="U38" s="282"/>
      <c r="V38" s="339" t="s">
        <v>100</v>
      </c>
      <c r="W38" s="539">
        <v>3</v>
      </c>
      <c r="X38" s="552">
        <f t="shared" si="2"/>
        <v>55.457999999999991</v>
      </c>
    </row>
    <row r="39" spans="1:24" ht="14.25" customHeight="1" x14ac:dyDescent="0.25">
      <c r="A39" s="339" t="s">
        <v>104</v>
      </c>
      <c r="B39" s="559">
        <v>22</v>
      </c>
      <c r="C39" s="327">
        <f t="shared" si="4"/>
        <v>53.561999999999998</v>
      </c>
      <c r="D39" s="327">
        <f t="shared" si="6"/>
        <v>1178.364</v>
      </c>
      <c r="E39" s="323">
        <v>67.8</v>
      </c>
      <c r="G39" s="328" t="s">
        <v>104</v>
      </c>
      <c r="H39" s="539">
        <v>16</v>
      </c>
      <c r="I39" s="327">
        <f t="shared" si="7"/>
        <v>856.99199999999996</v>
      </c>
      <c r="J39" s="282"/>
      <c r="K39" s="282"/>
      <c r="L39" s="339" t="s">
        <v>104</v>
      </c>
      <c r="M39" s="539">
        <v>23</v>
      </c>
      <c r="N39" s="327">
        <f t="shared" si="0"/>
        <v>1231.9259999999999</v>
      </c>
      <c r="O39" s="282"/>
      <c r="P39" s="282"/>
      <c r="Q39" s="339" t="s">
        <v>104</v>
      </c>
      <c r="R39" s="539">
        <v>26</v>
      </c>
      <c r="S39" s="327">
        <f t="shared" si="1"/>
        <v>1392.6119999999999</v>
      </c>
      <c r="T39" s="282"/>
      <c r="U39" s="282"/>
      <c r="V39" s="339" t="s">
        <v>104</v>
      </c>
      <c r="W39" s="539">
        <v>14</v>
      </c>
      <c r="X39" s="552">
        <f t="shared" si="2"/>
        <v>749.86799999999994</v>
      </c>
    </row>
    <row r="40" spans="1:24" ht="14.25" customHeight="1" x14ac:dyDescent="0.25">
      <c r="A40" s="339" t="s">
        <v>106</v>
      </c>
      <c r="B40" s="559">
        <v>23</v>
      </c>
      <c r="C40" s="327">
        <f t="shared" si="4"/>
        <v>43.442100000000003</v>
      </c>
      <c r="D40" s="327">
        <f t="shared" si="6"/>
        <v>999.16830000000004</v>
      </c>
      <c r="E40" s="323">
        <v>54.99</v>
      </c>
      <c r="G40" s="328" t="s">
        <v>106</v>
      </c>
      <c r="H40" s="539">
        <v>21</v>
      </c>
      <c r="I40" s="327">
        <f t="shared" si="7"/>
        <v>912.28410000000008</v>
      </c>
      <c r="J40" s="282"/>
      <c r="K40" s="282"/>
      <c r="L40" s="339" t="s">
        <v>106</v>
      </c>
      <c r="M40" s="539">
        <v>30</v>
      </c>
      <c r="N40" s="327">
        <f t="shared" si="0"/>
        <v>1303.2630000000001</v>
      </c>
      <c r="O40" s="282"/>
      <c r="P40" s="282"/>
      <c r="Q40" s="339" t="s">
        <v>106</v>
      </c>
      <c r="R40" s="539">
        <v>32</v>
      </c>
      <c r="S40" s="327">
        <f t="shared" si="1"/>
        <v>1390.1472000000001</v>
      </c>
      <c r="T40" s="282"/>
      <c r="U40" s="282"/>
      <c r="V40" s="339" t="s">
        <v>106</v>
      </c>
      <c r="W40" s="539">
        <v>20</v>
      </c>
      <c r="X40" s="552">
        <f t="shared" si="2"/>
        <v>868.8420000000001</v>
      </c>
    </row>
    <row r="41" spans="1:24" ht="14.25" customHeight="1" x14ac:dyDescent="0.25">
      <c r="A41" s="339" t="s">
        <v>110</v>
      </c>
      <c r="B41" s="559">
        <v>11</v>
      </c>
      <c r="C41" s="327">
        <f t="shared" si="4"/>
        <v>26.196399999999997</v>
      </c>
      <c r="D41" s="327">
        <f t="shared" si="6"/>
        <v>288.16039999999998</v>
      </c>
      <c r="E41" s="323">
        <v>33.159999999999997</v>
      </c>
      <c r="G41" s="328" t="s">
        <v>110</v>
      </c>
      <c r="H41" s="539">
        <v>9</v>
      </c>
      <c r="I41" s="327">
        <f t="shared" si="7"/>
        <v>235.76759999999996</v>
      </c>
      <c r="J41" s="282"/>
      <c r="K41" s="282"/>
      <c r="L41" s="339" t="s">
        <v>110</v>
      </c>
      <c r="M41" s="539">
        <v>14</v>
      </c>
      <c r="N41" s="327">
        <f t="shared" si="0"/>
        <v>366.74959999999999</v>
      </c>
      <c r="O41" s="282"/>
      <c r="P41" s="282"/>
      <c r="Q41" s="339" t="s">
        <v>110</v>
      </c>
      <c r="R41" s="539">
        <v>15</v>
      </c>
      <c r="S41" s="327">
        <f t="shared" si="1"/>
        <v>392.94599999999997</v>
      </c>
      <c r="T41" s="282"/>
      <c r="U41" s="282"/>
      <c r="V41" s="339" t="s">
        <v>110</v>
      </c>
      <c r="W41" s="539">
        <v>8</v>
      </c>
      <c r="X41" s="552">
        <f t="shared" si="2"/>
        <v>209.57119999999998</v>
      </c>
    </row>
    <row r="42" spans="1:24" ht="14.25" customHeight="1" x14ac:dyDescent="0.25">
      <c r="A42" s="339" t="s">
        <v>111</v>
      </c>
      <c r="B42" s="559">
        <v>4</v>
      </c>
      <c r="C42" s="327">
        <f t="shared" si="4"/>
        <v>81.37</v>
      </c>
      <c r="D42" s="327">
        <f t="shared" si="6"/>
        <v>325.48</v>
      </c>
      <c r="E42" s="323">
        <v>103</v>
      </c>
      <c r="G42" s="328" t="s">
        <v>111</v>
      </c>
      <c r="H42" s="539">
        <v>6</v>
      </c>
      <c r="I42" s="327">
        <f t="shared" si="7"/>
        <v>488.22</v>
      </c>
      <c r="J42" s="282"/>
      <c r="K42" s="282"/>
      <c r="L42" s="339" t="s">
        <v>111</v>
      </c>
      <c r="M42" s="539">
        <v>0</v>
      </c>
      <c r="N42" s="327">
        <f t="shared" si="0"/>
        <v>0</v>
      </c>
      <c r="O42" s="282"/>
      <c r="P42" s="282"/>
      <c r="Q42" s="339" t="s">
        <v>111</v>
      </c>
      <c r="R42" s="539">
        <v>2</v>
      </c>
      <c r="S42" s="327">
        <f t="shared" si="1"/>
        <v>162.74</v>
      </c>
      <c r="T42" s="282"/>
      <c r="U42" s="282"/>
      <c r="V42" s="339" t="s">
        <v>111</v>
      </c>
      <c r="W42" s="539">
        <v>0</v>
      </c>
      <c r="X42" s="552">
        <f t="shared" si="2"/>
        <v>0</v>
      </c>
    </row>
    <row r="43" spans="1:24" ht="14.25" customHeight="1" x14ac:dyDescent="0.25">
      <c r="A43" s="339" t="s">
        <v>112</v>
      </c>
      <c r="B43" s="559">
        <v>46.73</v>
      </c>
      <c r="C43" s="327">
        <f t="shared" si="4"/>
        <v>13.240400000000001</v>
      </c>
      <c r="D43" s="327">
        <f t="shared" si="6"/>
        <v>618.72389199999998</v>
      </c>
      <c r="E43" s="323">
        <v>16.760000000000002</v>
      </c>
      <c r="G43" s="328" t="s">
        <v>112</v>
      </c>
      <c r="H43" s="539">
        <v>43.03</v>
      </c>
      <c r="I43" s="327">
        <f t="shared" si="7"/>
        <v>569.73441200000002</v>
      </c>
      <c r="J43" s="282"/>
      <c r="K43" s="282"/>
      <c r="L43" s="339" t="s">
        <v>112</v>
      </c>
      <c r="M43" s="539">
        <v>51.8</v>
      </c>
      <c r="N43" s="327">
        <f t="shared" si="0"/>
        <v>685.85271999999998</v>
      </c>
      <c r="O43" s="282"/>
      <c r="P43" s="282"/>
      <c r="Q43" s="339" t="s">
        <v>112</v>
      </c>
      <c r="R43" s="539">
        <v>57.8</v>
      </c>
      <c r="S43" s="327">
        <f t="shared" si="1"/>
        <v>765.29512</v>
      </c>
      <c r="T43" s="282"/>
      <c r="U43" s="282"/>
      <c r="V43" s="339" t="s">
        <v>112</v>
      </c>
      <c r="W43" s="539">
        <v>27.84</v>
      </c>
      <c r="X43" s="552">
        <f t="shared" si="2"/>
        <v>368.61273600000004</v>
      </c>
    </row>
    <row r="44" spans="1:24" ht="14.25" customHeight="1" x14ac:dyDescent="0.25">
      <c r="A44" s="339" t="s">
        <v>350</v>
      </c>
      <c r="B44" s="559">
        <v>20</v>
      </c>
      <c r="C44" s="327">
        <f t="shared" si="4"/>
        <v>252.8</v>
      </c>
      <c r="D44" s="327">
        <f t="shared" si="6"/>
        <v>5056</v>
      </c>
      <c r="E44" s="323">
        <v>320</v>
      </c>
      <c r="G44" s="328" t="s">
        <v>350</v>
      </c>
      <c r="H44" s="539">
        <v>21</v>
      </c>
      <c r="I44" s="327">
        <f t="shared" si="7"/>
        <v>5308.8</v>
      </c>
      <c r="J44" s="282"/>
      <c r="K44" s="282"/>
      <c r="L44" s="339" t="s">
        <v>350</v>
      </c>
      <c r="M44" s="539">
        <v>22</v>
      </c>
      <c r="N44" s="327">
        <f t="shared" si="0"/>
        <v>5561.6</v>
      </c>
      <c r="O44" s="282"/>
      <c r="P44" s="282"/>
      <c r="Q44" s="339" t="s">
        <v>350</v>
      </c>
      <c r="R44" s="539">
        <v>25</v>
      </c>
      <c r="S44" s="327">
        <f t="shared" si="1"/>
        <v>6320</v>
      </c>
      <c r="T44" s="282"/>
      <c r="U44" s="282"/>
      <c r="V44" s="339" t="s">
        <v>350</v>
      </c>
      <c r="W44" s="539">
        <v>15</v>
      </c>
      <c r="X44" s="552">
        <f t="shared" si="2"/>
        <v>3792</v>
      </c>
    </row>
    <row r="45" spans="1:24" ht="14.25" customHeight="1" x14ac:dyDescent="0.25">
      <c r="A45" s="339" t="s">
        <v>117</v>
      </c>
      <c r="B45" s="559">
        <v>2</v>
      </c>
      <c r="C45" s="327">
        <f t="shared" si="4"/>
        <v>345.22210000000001</v>
      </c>
      <c r="D45" s="327">
        <f t="shared" si="6"/>
        <v>690.44420000000002</v>
      </c>
      <c r="E45" s="323">
        <v>436.99</v>
      </c>
      <c r="G45" s="328" t="s">
        <v>117</v>
      </c>
      <c r="H45" s="539">
        <v>1</v>
      </c>
      <c r="I45" s="327">
        <f t="shared" si="7"/>
        <v>345.22210000000001</v>
      </c>
      <c r="J45" s="282"/>
      <c r="K45" s="282"/>
      <c r="L45" s="339" t="s">
        <v>117</v>
      </c>
      <c r="M45" s="539">
        <v>1</v>
      </c>
      <c r="N45" s="327">
        <f t="shared" si="0"/>
        <v>345.22210000000001</v>
      </c>
      <c r="O45" s="282"/>
      <c r="P45" s="282"/>
      <c r="Q45" s="339" t="s">
        <v>117</v>
      </c>
      <c r="R45" s="539">
        <v>1</v>
      </c>
      <c r="S45" s="327">
        <f t="shared" si="1"/>
        <v>345.22210000000001</v>
      </c>
      <c r="T45" s="282"/>
      <c r="U45" s="282"/>
      <c r="V45" s="339" t="s">
        <v>117</v>
      </c>
      <c r="W45" s="539">
        <v>1</v>
      </c>
      <c r="X45" s="552">
        <f t="shared" si="2"/>
        <v>345.22210000000001</v>
      </c>
    </row>
    <row r="46" spans="1:24" ht="14.25" customHeight="1" x14ac:dyDescent="0.25">
      <c r="A46" s="339" t="s">
        <v>119</v>
      </c>
      <c r="B46" s="559">
        <v>8</v>
      </c>
      <c r="C46" s="327">
        <f t="shared" si="4"/>
        <v>548.26</v>
      </c>
      <c r="D46" s="327">
        <f t="shared" si="6"/>
        <v>4386.08</v>
      </c>
      <c r="E46" s="323">
        <v>694</v>
      </c>
      <c r="G46" s="328" t="s">
        <v>119</v>
      </c>
      <c r="H46" s="539">
        <v>8</v>
      </c>
      <c r="I46" s="327">
        <f t="shared" si="7"/>
        <v>4386.08</v>
      </c>
      <c r="J46" s="282"/>
      <c r="K46" s="282"/>
      <c r="L46" s="339" t="s">
        <v>119</v>
      </c>
      <c r="M46" s="539">
        <v>8</v>
      </c>
      <c r="N46" s="327">
        <f t="shared" si="0"/>
        <v>4386.08</v>
      </c>
      <c r="O46" s="282"/>
      <c r="P46" s="282"/>
      <c r="Q46" s="339" t="s">
        <v>119</v>
      </c>
      <c r="R46" s="539">
        <v>8</v>
      </c>
      <c r="S46" s="327">
        <f t="shared" si="1"/>
        <v>4386.08</v>
      </c>
      <c r="T46" s="282"/>
      <c r="U46" s="282"/>
      <c r="V46" s="339" t="s">
        <v>119</v>
      </c>
      <c r="W46" s="539">
        <v>8</v>
      </c>
      <c r="X46" s="552">
        <f t="shared" si="2"/>
        <v>4386.08</v>
      </c>
    </row>
    <row r="47" spans="1:24" ht="14.25" customHeight="1" x14ac:dyDescent="0.25">
      <c r="A47" s="339" t="s">
        <v>120</v>
      </c>
      <c r="B47" s="559">
        <v>2</v>
      </c>
      <c r="C47" s="327">
        <f t="shared" si="4"/>
        <v>749.71</v>
      </c>
      <c r="D47" s="327">
        <f t="shared" si="6"/>
        <v>1499.42</v>
      </c>
      <c r="E47" s="323">
        <v>949</v>
      </c>
      <c r="G47" s="328" t="s">
        <v>120</v>
      </c>
      <c r="H47" s="539">
        <v>2</v>
      </c>
      <c r="I47" s="327">
        <f t="shared" si="7"/>
        <v>1499.42</v>
      </c>
      <c r="J47" s="282"/>
      <c r="K47" s="282"/>
      <c r="L47" s="339" t="s">
        <v>120</v>
      </c>
      <c r="M47" s="539">
        <v>2</v>
      </c>
      <c r="N47" s="327">
        <f t="shared" si="0"/>
        <v>1499.42</v>
      </c>
      <c r="O47" s="282"/>
      <c r="P47" s="282"/>
      <c r="Q47" s="339" t="s">
        <v>120</v>
      </c>
      <c r="R47" s="539">
        <v>2</v>
      </c>
      <c r="S47" s="327">
        <f t="shared" si="1"/>
        <v>1499.42</v>
      </c>
      <c r="T47" s="282"/>
      <c r="U47" s="282"/>
      <c r="V47" s="339" t="s">
        <v>120</v>
      </c>
      <c r="W47" s="539">
        <v>2</v>
      </c>
      <c r="X47" s="552">
        <f t="shared" si="2"/>
        <v>1499.42</v>
      </c>
    </row>
    <row r="48" spans="1:24" ht="14.25" customHeight="1" x14ac:dyDescent="0.25">
      <c r="A48" s="535" t="s">
        <v>121</v>
      </c>
      <c r="B48" s="560"/>
      <c r="C48" s="333"/>
      <c r="D48" s="329"/>
      <c r="E48" s="330"/>
      <c r="F48" s="331"/>
      <c r="G48" s="332"/>
      <c r="H48" s="540"/>
      <c r="I48" s="333"/>
      <c r="J48" s="334"/>
      <c r="K48" s="334"/>
      <c r="L48" s="534"/>
      <c r="M48" s="540"/>
      <c r="N48" s="333"/>
      <c r="O48" s="334"/>
      <c r="P48" s="334"/>
      <c r="Q48" s="534"/>
      <c r="R48" s="540"/>
      <c r="S48" s="333"/>
      <c r="T48" s="334"/>
      <c r="U48" s="334"/>
      <c r="V48" s="534"/>
      <c r="W48" s="540"/>
      <c r="X48" s="553"/>
    </row>
    <row r="49" spans="1:24" ht="14.25" customHeight="1" x14ac:dyDescent="0.25">
      <c r="A49" s="339" t="s">
        <v>123</v>
      </c>
      <c r="B49" s="559">
        <v>1</v>
      </c>
      <c r="C49" s="327">
        <f t="shared" si="4"/>
        <v>12518.34</v>
      </c>
      <c r="D49" s="327">
        <f t="shared" ref="D49:D56" si="8">B49*C49</f>
        <v>12518.34</v>
      </c>
      <c r="E49" s="323">
        <v>15846</v>
      </c>
      <c r="G49" s="328" t="s">
        <v>123</v>
      </c>
      <c r="H49" s="539">
        <v>1</v>
      </c>
      <c r="I49" s="327">
        <f t="shared" si="7"/>
        <v>12518.34</v>
      </c>
      <c r="J49" s="282"/>
      <c r="K49" s="282"/>
      <c r="L49" s="339" t="s">
        <v>123</v>
      </c>
      <c r="M49" s="539">
        <v>1</v>
      </c>
      <c r="N49" s="327">
        <f t="shared" si="0"/>
        <v>12518.34</v>
      </c>
      <c r="O49" s="282"/>
      <c r="P49" s="282"/>
      <c r="Q49" s="339" t="s">
        <v>123</v>
      </c>
      <c r="R49" s="539">
        <v>1</v>
      </c>
      <c r="S49" s="327">
        <f t="shared" si="1"/>
        <v>12518.34</v>
      </c>
      <c r="T49" s="282"/>
      <c r="U49" s="282"/>
      <c r="V49" s="339" t="s">
        <v>123</v>
      </c>
      <c r="W49" s="539">
        <v>0</v>
      </c>
      <c r="X49" s="552">
        <f t="shared" si="2"/>
        <v>0</v>
      </c>
    </row>
    <row r="50" spans="1:24" ht="14.25" customHeight="1" x14ac:dyDescent="0.25">
      <c r="A50" s="339" t="s">
        <v>124</v>
      </c>
      <c r="B50" s="559">
        <v>1</v>
      </c>
      <c r="C50" s="327">
        <f t="shared" si="4"/>
        <v>8034.3</v>
      </c>
      <c r="D50" s="327">
        <f t="shared" si="8"/>
        <v>8034.3</v>
      </c>
      <c r="E50" s="323">
        <v>10170</v>
      </c>
      <c r="G50" s="328" t="s">
        <v>124</v>
      </c>
      <c r="H50" s="539">
        <v>1</v>
      </c>
      <c r="I50" s="327">
        <f t="shared" si="7"/>
        <v>8034.3</v>
      </c>
      <c r="J50" s="282"/>
      <c r="K50" s="282"/>
      <c r="L50" s="339" t="s">
        <v>124</v>
      </c>
      <c r="M50" s="539">
        <v>1</v>
      </c>
      <c r="N50" s="327">
        <f t="shared" si="0"/>
        <v>8034.3</v>
      </c>
      <c r="O50" s="282"/>
      <c r="P50" s="282"/>
      <c r="Q50" s="339" t="s">
        <v>124</v>
      </c>
      <c r="R50" s="539">
        <v>1</v>
      </c>
      <c r="S50" s="327">
        <f t="shared" si="1"/>
        <v>8034.3</v>
      </c>
      <c r="T50" s="282"/>
      <c r="U50" s="282"/>
      <c r="V50" s="339" t="s">
        <v>124</v>
      </c>
      <c r="W50" s="539">
        <v>1</v>
      </c>
      <c r="X50" s="552">
        <f t="shared" si="2"/>
        <v>8034.3</v>
      </c>
    </row>
    <row r="51" spans="1:24" ht="14.25" customHeight="1" x14ac:dyDescent="0.25">
      <c r="A51" s="536" t="s">
        <v>570</v>
      </c>
      <c r="B51" s="559">
        <v>1</v>
      </c>
      <c r="C51" s="327">
        <f t="shared" si="4"/>
        <v>1031.74</v>
      </c>
      <c r="D51" s="327">
        <f t="shared" si="8"/>
        <v>1031.74</v>
      </c>
      <c r="E51" s="323">
        <v>1306</v>
      </c>
      <c r="G51" s="328" t="s">
        <v>126</v>
      </c>
      <c r="H51" s="539">
        <v>1</v>
      </c>
      <c r="I51" s="327">
        <f t="shared" si="7"/>
        <v>1031.74</v>
      </c>
      <c r="J51" s="282"/>
      <c r="K51" s="282"/>
      <c r="L51" s="339" t="s">
        <v>126</v>
      </c>
      <c r="M51" s="539">
        <v>1</v>
      </c>
      <c r="N51" s="327">
        <f t="shared" si="0"/>
        <v>1031.74</v>
      </c>
      <c r="O51" s="282"/>
      <c r="P51" s="282"/>
      <c r="Q51" s="339" t="s">
        <v>126</v>
      </c>
      <c r="R51" s="539">
        <v>1</v>
      </c>
      <c r="S51" s="327">
        <f t="shared" si="1"/>
        <v>1031.74</v>
      </c>
      <c r="T51" s="282"/>
      <c r="U51" s="282"/>
      <c r="V51" s="339" t="s">
        <v>126</v>
      </c>
      <c r="W51" s="539">
        <v>1</v>
      </c>
      <c r="X51" s="552">
        <f t="shared" si="2"/>
        <v>1031.74</v>
      </c>
    </row>
    <row r="52" spans="1:24" ht="14.25" customHeight="1" x14ac:dyDescent="0.25">
      <c r="A52" s="339" t="s">
        <v>128</v>
      </c>
      <c r="B52" s="559">
        <v>2</v>
      </c>
      <c r="C52" s="327">
        <f t="shared" si="4"/>
        <v>5522.1</v>
      </c>
      <c r="D52" s="327">
        <f t="shared" si="8"/>
        <v>11044.2</v>
      </c>
      <c r="E52" s="323">
        <v>6990</v>
      </c>
      <c r="G52" s="328" t="s">
        <v>128</v>
      </c>
      <c r="H52" s="539">
        <v>2</v>
      </c>
      <c r="I52" s="327">
        <f t="shared" si="7"/>
        <v>11044.2</v>
      </c>
      <c r="J52" s="282"/>
      <c r="K52" s="282"/>
      <c r="L52" s="339" t="s">
        <v>128</v>
      </c>
      <c r="M52" s="539">
        <v>3</v>
      </c>
      <c r="N52" s="327">
        <f t="shared" si="0"/>
        <v>16566.300000000003</v>
      </c>
      <c r="O52" s="282"/>
      <c r="P52" s="282"/>
      <c r="Q52" s="339" t="s">
        <v>128</v>
      </c>
      <c r="R52" s="539">
        <v>2</v>
      </c>
      <c r="S52" s="327">
        <f t="shared" si="1"/>
        <v>11044.2</v>
      </c>
      <c r="T52" s="282"/>
      <c r="U52" s="282"/>
      <c r="V52" s="339" t="s">
        <v>128</v>
      </c>
      <c r="W52" s="539">
        <v>0</v>
      </c>
      <c r="X52" s="552">
        <f t="shared" si="2"/>
        <v>0</v>
      </c>
    </row>
    <row r="53" spans="1:24" ht="14.25" customHeight="1" x14ac:dyDescent="0.25">
      <c r="A53" s="339" t="s">
        <v>129</v>
      </c>
      <c r="B53" s="559">
        <v>1</v>
      </c>
      <c r="C53" s="327">
        <f t="shared" si="4"/>
        <v>6786.1</v>
      </c>
      <c r="D53" s="327">
        <f t="shared" si="8"/>
        <v>6786.1</v>
      </c>
      <c r="E53" s="323">
        <v>8590</v>
      </c>
      <c r="G53" s="328" t="s">
        <v>129</v>
      </c>
      <c r="H53" s="539">
        <v>0</v>
      </c>
      <c r="I53" s="327">
        <f t="shared" si="7"/>
        <v>0</v>
      </c>
      <c r="J53" s="282"/>
      <c r="K53" s="282"/>
      <c r="L53" s="339" t="s">
        <v>129</v>
      </c>
      <c r="M53" s="539">
        <v>0</v>
      </c>
      <c r="N53" s="327">
        <f t="shared" si="0"/>
        <v>0</v>
      </c>
      <c r="O53" s="282"/>
      <c r="P53" s="282"/>
      <c r="Q53" s="339" t="s">
        <v>129</v>
      </c>
      <c r="R53" s="539">
        <v>2</v>
      </c>
      <c r="S53" s="327">
        <f t="shared" si="1"/>
        <v>13572.2</v>
      </c>
      <c r="T53" s="282"/>
      <c r="U53" s="282"/>
      <c r="V53" s="339" t="s">
        <v>129</v>
      </c>
      <c r="W53" s="539">
        <v>1</v>
      </c>
      <c r="X53" s="552">
        <f t="shared" si="2"/>
        <v>6786.1</v>
      </c>
    </row>
    <row r="54" spans="1:24" ht="14.25" customHeight="1" x14ac:dyDescent="0.25">
      <c r="A54" s="339" t="s">
        <v>130</v>
      </c>
      <c r="B54" s="559">
        <v>3</v>
      </c>
      <c r="C54" s="327">
        <f t="shared" si="4"/>
        <v>6667.6</v>
      </c>
      <c r="D54" s="327">
        <f t="shared" si="8"/>
        <v>20002.800000000003</v>
      </c>
      <c r="E54" s="323">
        <v>8440</v>
      </c>
      <c r="G54" s="328" t="s">
        <v>130</v>
      </c>
      <c r="H54" s="539">
        <v>4</v>
      </c>
      <c r="I54" s="327">
        <f t="shared" si="7"/>
        <v>26670.400000000001</v>
      </c>
      <c r="J54" s="282"/>
      <c r="K54" s="282"/>
      <c r="L54" s="339" t="s">
        <v>130</v>
      </c>
      <c r="M54" s="539">
        <v>3</v>
      </c>
      <c r="N54" s="327">
        <f t="shared" si="0"/>
        <v>20002.800000000003</v>
      </c>
      <c r="O54" s="282"/>
      <c r="P54" s="282"/>
      <c r="Q54" s="339" t="s">
        <v>130</v>
      </c>
      <c r="R54" s="539">
        <v>4</v>
      </c>
      <c r="S54" s="327">
        <f t="shared" si="1"/>
        <v>26670.400000000001</v>
      </c>
      <c r="T54" s="282"/>
      <c r="U54" s="282"/>
      <c r="V54" s="339" t="s">
        <v>130</v>
      </c>
      <c r="W54" s="539">
        <v>4</v>
      </c>
      <c r="X54" s="552">
        <f t="shared" si="2"/>
        <v>26670.400000000001</v>
      </c>
    </row>
    <row r="55" spans="1:24" ht="14.25" customHeight="1" x14ac:dyDescent="0.25">
      <c r="A55" s="536" t="s">
        <v>571</v>
      </c>
      <c r="B55" s="559">
        <v>3</v>
      </c>
      <c r="C55" s="327">
        <f t="shared" si="4"/>
        <v>808.17000000000007</v>
      </c>
      <c r="D55" s="327">
        <f t="shared" si="8"/>
        <v>2424.5100000000002</v>
      </c>
      <c r="E55" s="323">
        <v>1023</v>
      </c>
      <c r="G55" s="328" t="s">
        <v>133</v>
      </c>
      <c r="H55" s="539">
        <v>4</v>
      </c>
      <c r="I55" s="327">
        <f t="shared" si="7"/>
        <v>3232.6800000000003</v>
      </c>
      <c r="J55" s="282"/>
      <c r="K55" s="282"/>
      <c r="L55" s="339" t="s">
        <v>133</v>
      </c>
      <c r="M55" s="539">
        <v>3</v>
      </c>
      <c r="N55" s="327">
        <f t="shared" si="0"/>
        <v>2424.5100000000002</v>
      </c>
      <c r="O55" s="282"/>
      <c r="P55" s="282"/>
      <c r="Q55" s="339" t="s">
        <v>133</v>
      </c>
      <c r="R55" s="539">
        <v>4</v>
      </c>
      <c r="S55" s="327">
        <f t="shared" si="1"/>
        <v>3232.6800000000003</v>
      </c>
      <c r="T55" s="282"/>
      <c r="U55" s="282"/>
      <c r="V55" s="339" t="s">
        <v>133</v>
      </c>
      <c r="W55" s="539">
        <v>4</v>
      </c>
      <c r="X55" s="552">
        <f t="shared" si="2"/>
        <v>3232.6800000000003</v>
      </c>
    </row>
    <row r="56" spans="1:24" ht="14.25" customHeight="1" x14ac:dyDescent="0.25">
      <c r="A56" s="339" t="s">
        <v>135</v>
      </c>
      <c r="B56" s="559">
        <v>2</v>
      </c>
      <c r="C56" s="327">
        <f t="shared" si="4"/>
        <v>1871.51</v>
      </c>
      <c r="D56" s="327">
        <f t="shared" si="8"/>
        <v>3743.02</v>
      </c>
      <c r="E56" s="323">
        <v>2369</v>
      </c>
      <c r="G56" s="328" t="s">
        <v>135</v>
      </c>
      <c r="H56" s="539">
        <v>1</v>
      </c>
      <c r="I56" s="327">
        <f t="shared" si="7"/>
        <v>1871.51</v>
      </c>
      <c r="J56" s="282"/>
      <c r="K56" s="282"/>
      <c r="L56" s="339" t="s">
        <v>135</v>
      </c>
      <c r="M56" s="539">
        <v>2</v>
      </c>
      <c r="N56" s="327">
        <f t="shared" si="0"/>
        <v>3743.02</v>
      </c>
      <c r="O56" s="282"/>
      <c r="P56" s="282"/>
      <c r="Q56" s="339" t="s">
        <v>135</v>
      </c>
      <c r="R56" s="539">
        <v>3</v>
      </c>
      <c r="S56" s="327">
        <f t="shared" si="1"/>
        <v>5614.53</v>
      </c>
      <c r="T56" s="282"/>
      <c r="U56" s="282"/>
      <c r="V56" s="339" t="s">
        <v>135</v>
      </c>
      <c r="W56" s="539">
        <v>1</v>
      </c>
      <c r="X56" s="552">
        <f t="shared" si="2"/>
        <v>1871.51</v>
      </c>
    </row>
    <row r="57" spans="1:24" ht="14.25" customHeight="1" x14ac:dyDescent="0.25">
      <c r="A57" s="535" t="s">
        <v>137</v>
      </c>
      <c r="B57" s="560"/>
      <c r="C57" s="333"/>
      <c r="D57" s="329"/>
      <c r="E57" s="330"/>
      <c r="F57" s="331"/>
      <c r="G57" s="332"/>
      <c r="H57" s="540"/>
      <c r="I57" s="333"/>
      <c r="J57" s="334"/>
      <c r="K57" s="334"/>
      <c r="L57" s="534"/>
      <c r="M57" s="540"/>
      <c r="N57" s="333"/>
      <c r="O57" s="334"/>
      <c r="P57" s="334"/>
      <c r="Q57" s="534"/>
      <c r="R57" s="540"/>
      <c r="S57" s="333"/>
      <c r="T57" s="334"/>
      <c r="U57" s="334"/>
      <c r="V57" s="534"/>
      <c r="W57" s="540"/>
      <c r="X57" s="553"/>
    </row>
    <row r="58" spans="1:24" ht="14.25" customHeight="1" x14ac:dyDescent="0.25">
      <c r="A58" s="339" t="s">
        <v>139</v>
      </c>
      <c r="B58" s="559">
        <f>B152</f>
        <v>45</v>
      </c>
      <c r="C58" s="327">
        <f t="shared" si="4"/>
        <v>321.11130000000003</v>
      </c>
      <c r="D58" s="327">
        <f>B58*C58</f>
        <v>14450.008500000002</v>
      </c>
      <c r="E58" s="323">
        <v>406.47</v>
      </c>
      <c r="G58" s="328" t="s">
        <v>139</v>
      </c>
      <c r="H58" s="539">
        <f>H152</f>
        <v>45</v>
      </c>
      <c r="I58" s="327">
        <f t="shared" si="7"/>
        <v>14450.008500000002</v>
      </c>
      <c r="J58" s="282"/>
      <c r="K58" s="282"/>
      <c r="L58" s="339" t="s">
        <v>139</v>
      </c>
      <c r="M58" s="539">
        <f>M152</f>
        <v>60</v>
      </c>
      <c r="N58" s="327">
        <f t="shared" si="0"/>
        <v>19266.678</v>
      </c>
      <c r="O58" s="282"/>
      <c r="P58" s="282"/>
      <c r="Q58" s="339" t="s">
        <v>139</v>
      </c>
      <c r="R58" s="539">
        <f>R152</f>
        <v>60</v>
      </c>
      <c r="S58" s="327">
        <f t="shared" si="1"/>
        <v>19266.678</v>
      </c>
      <c r="T58" s="282"/>
      <c r="U58" s="282"/>
      <c r="V58" s="339" t="s">
        <v>139</v>
      </c>
      <c r="W58" s="539">
        <f>W153</f>
        <v>30</v>
      </c>
      <c r="X58" s="552">
        <f t="shared" si="2"/>
        <v>9633.3389999999999</v>
      </c>
    </row>
    <row r="59" spans="1:24" ht="14.25" customHeight="1" x14ac:dyDescent="0.25">
      <c r="A59" s="339" t="s">
        <v>140</v>
      </c>
      <c r="B59" s="559">
        <f>B153</f>
        <v>40.28</v>
      </c>
      <c r="C59" s="327">
        <f t="shared" si="4"/>
        <v>671.5</v>
      </c>
      <c r="D59" s="327">
        <f>B59*C59</f>
        <v>27048.02</v>
      </c>
      <c r="E59" s="323">
        <v>850</v>
      </c>
      <c r="G59" s="328" t="s">
        <v>140</v>
      </c>
      <c r="H59" s="539">
        <f>H153</f>
        <v>41.65</v>
      </c>
      <c r="I59" s="327">
        <f t="shared" si="7"/>
        <v>27967.974999999999</v>
      </c>
      <c r="J59" s="282"/>
      <c r="K59" s="282"/>
      <c r="L59" s="339" t="s">
        <v>140</v>
      </c>
      <c r="M59" s="539">
        <f>M153</f>
        <v>55.3</v>
      </c>
      <c r="N59" s="327">
        <f t="shared" si="0"/>
        <v>37133.949999999997</v>
      </c>
      <c r="O59" s="282"/>
      <c r="P59" s="282"/>
      <c r="Q59" s="339" t="s">
        <v>140</v>
      </c>
      <c r="R59" s="539">
        <f>R153</f>
        <v>56.35</v>
      </c>
      <c r="S59" s="327">
        <f t="shared" si="1"/>
        <v>37839.025000000001</v>
      </c>
      <c r="T59" s="282"/>
      <c r="U59" s="282"/>
      <c r="V59" s="339" t="s">
        <v>140</v>
      </c>
      <c r="W59" s="539">
        <f>W154</f>
        <v>28.01</v>
      </c>
      <c r="X59" s="552">
        <f t="shared" si="2"/>
        <v>18808.715</v>
      </c>
    </row>
    <row r="60" spans="1:24" ht="14.25" customHeight="1" x14ac:dyDescent="0.25">
      <c r="A60" s="536" t="s">
        <v>145</v>
      </c>
      <c r="B60" s="559">
        <v>5.75</v>
      </c>
      <c r="C60" s="327">
        <f t="shared" si="4"/>
        <v>368.41650000000004</v>
      </c>
      <c r="D60" s="327">
        <f>B60*C60</f>
        <v>2118.3948750000004</v>
      </c>
      <c r="E60" s="323">
        <v>466.35</v>
      </c>
      <c r="G60" s="328" t="s">
        <v>145</v>
      </c>
      <c r="H60" s="539">
        <f>H154</f>
        <v>5.8310000000000004</v>
      </c>
      <c r="I60" s="327">
        <f t="shared" si="7"/>
        <v>2148.2366115000004</v>
      </c>
      <c r="J60" s="282"/>
      <c r="K60" s="282"/>
      <c r="L60" s="339" t="s">
        <v>145</v>
      </c>
      <c r="M60" s="541">
        <f>M154</f>
        <v>7.742</v>
      </c>
      <c r="N60" s="327">
        <f t="shared" si="0"/>
        <v>2852.2805430000003</v>
      </c>
      <c r="O60" s="282"/>
      <c r="P60" s="282"/>
      <c r="Q60" s="339" t="s">
        <v>145</v>
      </c>
      <c r="R60" s="539">
        <f>R130</f>
        <v>8.4</v>
      </c>
      <c r="S60" s="327">
        <f t="shared" si="1"/>
        <v>3094.6986000000006</v>
      </c>
      <c r="T60" s="282"/>
      <c r="U60" s="282"/>
      <c r="V60" s="339" t="s">
        <v>145</v>
      </c>
      <c r="W60" s="541">
        <f>W155</f>
        <v>3.9214000000000007</v>
      </c>
      <c r="X60" s="552">
        <f t="shared" si="2"/>
        <v>1444.7084631000005</v>
      </c>
    </row>
    <row r="61" spans="1:24" ht="14.25" customHeight="1" x14ac:dyDescent="0.25">
      <c r="A61" s="339" t="s">
        <v>150</v>
      </c>
      <c r="B61" s="559">
        <v>4.72</v>
      </c>
      <c r="C61" s="327">
        <f t="shared" si="4"/>
        <v>485.32070000000004</v>
      </c>
      <c r="D61" s="327">
        <f>B61*C61</f>
        <v>2290.7137040000002</v>
      </c>
      <c r="E61" s="323">
        <v>614.33000000000004</v>
      </c>
      <c r="G61" s="328" t="s">
        <v>150</v>
      </c>
      <c r="H61" s="539">
        <f>H155</f>
        <v>3.35</v>
      </c>
      <c r="I61" s="327">
        <f t="shared" si="7"/>
        <v>1625.8243450000002</v>
      </c>
      <c r="J61" s="282"/>
      <c r="K61" s="282"/>
      <c r="L61" s="339" t="s">
        <v>150</v>
      </c>
      <c r="M61" s="539">
        <f>M155</f>
        <v>4.7</v>
      </c>
      <c r="N61" s="327">
        <f t="shared" si="0"/>
        <v>2281.0072900000005</v>
      </c>
      <c r="O61" s="282"/>
      <c r="P61" s="282"/>
      <c r="Q61" s="339" t="s">
        <v>150</v>
      </c>
      <c r="R61" s="539">
        <f>R155</f>
        <v>3.65</v>
      </c>
      <c r="S61" s="327">
        <f t="shared" si="1"/>
        <v>1771.4205550000001</v>
      </c>
      <c r="T61" s="282"/>
      <c r="U61" s="282"/>
      <c r="V61" s="339" t="s">
        <v>150</v>
      </c>
      <c r="W61" s="539">
        <f>W156</f>
        <v>1.99</v>
      </c>
      <c r="X61" s="552">
        <f t="shared" si="2"/>
        <v>965.78819300000009</v>
      </c>
    </row>
    <row r="62" spans="1:24" ht="14.25" customHeight="1" x14ac:dyDescent="0.25">
      <c r="A62" s="339" t="s">
        <v>152</v>
      </c>
      <c r="B62" s="559">
        <v>13.74</v>
      </c>
      <c r="C62" s="327">
        <f t="shared" si="4"/>
        <v>227.678</v>
      </c>
      <c r="D62" s="327">
        <f>B62*C62</f>
        <v>3128.2957200000001</v>
      </c>
      <c r="E62" s="323">
        <v>288.2</v>
      </c>
      <c r="G62" s="328" t="s">
        <v>152</v>
      </c>
      <c r="H62" s="539">
        <f>H156</f>
        <v>6.21</v>
      </c>
      <c r="I62" s="327">
        <f t="shared" si="7"/>
        <v>1413.8803800000001</v>
      </c>
      <c r="J62" s="282"/>
      <c r="K62" s="282"/>
      <c r="L62" s="339" t="s">
        <v>152</v>
      </c>
      <c r="M62" s="539">
        <f>M156</f>
        <v>10.85</v>
      </c>
      <c r="N62" s="327">
        <f t="shared" si="0"/>
        <v>2470.3062999999997</v>
      </c>
      <c r="O62" s="282"/>
      <c r="P62" s="282"/>
      <c r="Q62" s="339" t="s">
        <v>152</v>
      </c>
      <c r="R62" s="539">
        <f>R156</f>
        <v>6.45</v>
      </c>
      <c r="S62" s="327">
        <f t="shared" si="1"/>
        <v>1468.5231000000001</v>
      </c>
      <c r="T62" s="282"/>
      <c r="U62" s="282"/>
      <c r="V62" s="339" t="s">
        <v>152</v>
      </c>
      <c r="W62" s="539">
        <f>W157</f>
        <v>4.32</v>
      </c>
      <c r="X62" s="552">
        <f t="shared" si="2"/>
        <v>983.56896000000006</v>
      </c>
    </row>
    <row r="63" spans="1:24" ht="14.25" customHeight="1" x14ac:dyDescent="0.25">
      <c r="A63" s="535" t="s">
        <v>154</v>
      </c>
      <c r="B63" s="560"/>
      <c r="C63" s="333"/>
      <c r="D63" s="329"/>
      <c r="E63" s="330"/>
      <c r="F63" s="331"/>
      <c r="G63" s="332"/>
      <c r="H63" s="540"/>
      <c r="I63" s="333"/>
      <c r="J63" s="334"/>
      <c r="K63" s="334"/>
      <c r="L63" s="534"/>
      <c r="M63" s="540"/>
      <c r="N63" s="333"/>
      <c r="O63" s="334"/>
      <c r="P63" s="334"/>
      <c r="Q63" s="534"/>
      <c r="R63" s="540"/>
      <c r="S63" s="333"/>
      <c r="T63" s="334"/>
      <c r="U63" s="334"/>
      <c r="V63" s="534"/>
      <c r="W63" s="540"/>
      <c r="X63" s="553"/>
    </row>
    <row r="64" spans="1:24" ht="14.25" customHeight="1" x14ac:dyDescent="0.25">
      <c r="A64" s="339" t="s">
        <v>156</v>
      </c>
      <c r="B64" s="559">
        <v>2</v>
      </c>
      <c r="C64" s="327">
        <f t="shared" si="4"/>
        <v>14536.79</v>
      </c>
      <c r="D64" s="327">
        <f t="shared" ref="D64:D73" si="9">B64*C64</f>
        <v>29073.58</v>
      </c>
      <c r="E64" s="323">
        <v>18401</v>
      </c>
      <c r="G64" s="328" t="s">
        <v>156</v>
      </c>
      <c r="H64" s="539">
        <v>1</v>
      </c>
      <c r="I64" s="327">
        <f t="shared" si="7"/>
        <v>14536.79</v>
      </c>
      <c r="J64" s="282"/>
      <c r="K64" s="282"/>
      <c r="L64" s="339" t="s">
        <v>156</v>
      </c>
      <c r="M64" s="539">
        <v>2</v>
      </c>
      <c r="N64" s="327">
        <f t="shared" si="0"/>
        <v>29073.58</v>
      </c>
      <c r="O64" s="282"/>
      <c r="P64" s="282"/>
      <c r="Q64" s="339" t="s">
        <v>156</v>
      </c>
      <c r="R64" s="539">
        <v>1</v>
      </c>
      <c r="S64" s="327">
        <f t="shared" si="1"/>
        <v>14536.79</v>
      </c>
      <c r="T64" s="282"/>
      <c r="U64" s="282"/>
      <c r="V64" s="339" t="s">
        <v>156</v>
      </c>
      <c r="W64" s="539">
        <v>1</v>
      </c>
      <c r="X64" s="552">
        <f t="shared" si="2"/>
        <v>14536.79</v>
      </c>
    </row>
    <row r="65" spans="1:39" ht="14.25" customHeight="1" x14ac:dyDescent="0.25">
      <c r="A65" s="339" t="s">
        <v>157</v>
      </c>
      <c r="B65" s="559">
        <v>2</v>
      </c>
      <c r="C65" s="327">
        <f t="shared" si="4"/>
        <v>5672.2</v>
      </c>
      <c r="D65" s="327">
        <f t="shared" si="9"/>
        <v>11344.4</v>
      </c>
      <c r="E65" s="323">
        <v>7180</v>
      </c>
      <c r="G65" s="328" t="s">
        <v>157</v>
      </c>
      <c r="H65" s="539">
        <v>1</v>
      </c>
      <c r="I65" s="327">
        <f t="shared" si="7"/>
        <v>5672.2</v>
      </c>
      <c r="J65" s="282"/>
      <c r="K65" s="282"/>
      <c r="L65" s="339" t="s">
        <v>157</v>
      </c>
      <c r="M65" s="539">
        <v>1</v>
      </c>
      <c r="N65" s="327">
        <f t="shared" si="0"/>
        <v>5672.2</v>
      </c>
      <c r="O65" s="282"/>
      <c r="P65" s="282"/>
      <c r="Q65" s="339" t="s">
        <v>157</v>
      </c>
      <c r="R65" s="539">
        <v>1</v>
      </c>
      <c r="S65" s="327">
        <f t="shared" si="1"/>
        <v>5672.2</v>
      </c>
      <c r="T65" s="282"/>
      <c r="U65" s="282"/>
      <c r="V65" s="339" t="s">
        <v>157</v>
      </c>
      <c r="W65" s="539">
        <v>1</v>
      </c>
      <c r="X65" s="552">
        <f t="shared" si="2"/>
        <v>5672.2</v>
      </c>
    </row>
    <row r="66" spans="1:39" ht="14.25" customHeight="1" x14ac:dyDescent="0.25">
      <c r="A66" s="339" t="s">
        <v>579</v>
      </c>
      <c r="B66" s="559">
        <v>2</v>
      </c>
      <c r="C66" s="327">
        <f t="shared" si="4"/>
        <v>5616.9</v>
      </c>
      <c r="D66" s="327">
        <f t="shared" si="9"/>
        <v>11233.8</v>
      </c>
      <c r="E66" s="323">
        <v>7110</v>
      </c>
      <c r="G66" s="328" t="s">
        <v>159</v>
      </c>
      <c r="H66" s="539">
        <v>1</v>
      </c>
      <c r="I66" s="327">
        <f t="shared" si="7"/>
        <v>5616.9</v>
      </c>
      <c r="J66" s="282"/>
      <c r="K66" s="282"/>
      <c r="L66" s="339" t="s">
        <v>159</v>
      </c>
      <c r="M66" s="539">
        <v>2</v>
      </c>
      <c r="N66" s="327">
        <f t="shared" si="0"/>
        <v>11233.8</v>
      </c>
      <c r="O66" s="282"/>
      <c r="P66" s="282"/>
      <c r="Q66" s="339" t="s">
        <v>159</v>
      </c>
      <c r="R66" s="539">
        <v>1</v>
      </c>
      <c r="S66" s="327">
        <f t="shared" si="1"/>
        <v>5616.9</v>
      </c>
      <c r="T66" s="282"/>
      <c r="U66" s="282"/>
      <c r="V66" s="339" t="s">
        <v>159</v>
      </c>
      <c r="W66" s="539">
        <v>1</v>
      </c>
      <c r="X66" s="552">
        <f t="shared" si="2"/>
        <v>5616.9</v>
      </c>
    </row>
    <row r="67" spans="1:39" ht="14.25" customHeight="1" x14ac:dyDescent="0.25">
      <c r="A67" s="339" t="s">
        <v>163</v>
      </c>
      <c r="B67" s="559">
        <v>2</v>
      </c>
      <c r="C67" s="327">
        <f t="shared" si="4"/>
        <v>3013.85</v>
      </c>
      <c r="D67" s="327">
        <f t="shared" si="9"/>
        <v>6027.7</v>
      </c>
      <c r="E67" s="323">
        <v>3815</v>
      </c>
      <c r="G67" s="328" t="s">
        <v>163</v>
      </c>
      <c r="H67" s="539">
        <v>1</v>
      </c>
      <c r="I67" s="327">
        <f t="shared" si="7"/>
        <v>3013.85</v>
      </c>
      <c r="J67" s="282"/>
      <c r="K67" s="282"/>
      <c r="L67" s="339" t="s">
        <v>163</v>
      </c>
      <c r="M67" s="539">
        <v>2</v>
      </c>
      <c r="N67" s="327">
        <f t="shared" si="0"/>
        <v>6027.7</v>
      </c>
      <c r="O67" s="282"/>
      <c r="P67" s="282"/>
      <c r="Q67" s="339" t="s">
        <v>163</v>
      </c>
      <c r="R67" s="539">
        <v>1</v>
      </c>
      <c r="S67" s="327">
        <f t="shared" si="1"/>
        <v>3013.85</v>
      </c>
      <c r="T67" s="282"/>
      <c r="U67" s="282"/>
      <c r="V67" s="339" t="s">
        <v>163</v>
      </c>
      <c r="W67" s="539">
        <v>1</v>
      </c>
      <c r="X67" s="552">
        <f t="shared" si="2"/>
        <v>3013.85</v>
      </c>
    </row>
    <row r="68" spans="1:39" ht="14.25" customHeight="1" x14ac:dyDescent="0.25">
      <c r="A68" s="339" t="s">
        <v>165</v>
      </c>
      <c r="B68" s="559">
        <v>1</v>
      </c>
      <c r="C68" s="327">
        <f t="shared" si="4"/>
        <v>5100.24</v>
      </c>
      <c r="D68" s="327">
        <f t="shared" si="9"/>
        <v>5100.24</v>
      </c>
      <c r="E68" s="323">
        <v>6456</v>
      </c>
      <c r="G68" s="328" t="s">
        <v>165</v>
      </c>
      <c r="H68" s="539">
        <v>1</v>
      </c>
      <c r="I68" s="327">
        <f t="shared" si="7"/>
        <v>5100.24</v>
      </c>
      <c r="J68" s="282"/>
      <c r="K68" s="282"/>
      <c r="L68" s="339" t="s">
        <v>165</v>
      </c>
      <c r="M68" s="539">
        <v>1</v>
      </c>
      <c r="N68" s="327">
        <f t="shared" si="0"/>
        <v>5100.24</v>
      </c>
      <c r="O68" s="282"/>
      <c r="P68" s="282"/>
      <c r="Q68" s="339" t="s">
        <v>165</v>
      </c>
      <c r="R68" s="539">
        <v>1</v>
      </c>
      <c r="S68" s="327">
        <f t="shared" si="1"/>
        <v>5100.24</v>
      </c>
      <c r="T68" s="282"/>
      <c r="U68" s="282"/>
      <c r="V68" s="339" t="s">
        <v>165</v>
      </c>
      <c r="W68" s="539">
        <v>1</v>
      </c>
      <c r="X68" s="552">
        <f t="shared" si="2"/>
        <v>5100.24</v>
      </c>
    </row>
    <row r="69" spans="1:39" ht="14.25" customHeight="1" x14ac:dyDescent="0.25">
      <c r="A69" s="339" t="s">
        <v>569</v>
      </c>
      <c r="B69" s="559">
        <v>2</v>
      </c>
      <c r="C69" s="327">
        <f t="shared" si="4"/>
        <v>670.71</v>
      </c>
      <c r="D69" s="327">
        <f t="shared" si="9"/>
        <v>1341.42</v>
      </c>
      <c r="E69" s="323">
        <v>849</v>
      </c>
      <c r="G69" s="328" t="s">
        <v>167</v>
      </c>
      <c r="H69" s="539">
        <v>1</v>
      </c>
      <c r="I69" s="327">
        <f t="shared" si="7"/>
        <v>670.71</v>
      </c>
      <c r="J69" s="282"/>
      <c r="K69" s="282"/>
      <c r="L69" s="339" t="s">
        <v>167</v>
      </c>
      <c r="M69" s="539">
        <v>2</v>
      </c>
      <c r="N69" s="327">
        <f t="shared" si="0"/>
        <v>1341.42</v>
      </c>
      <c r="O69" s="282"/>
      <c r="P69" s="282"/>
      <c r="Q69" s="339" t="s">
        <v>167</v>
      </c>
      <c r="R69" s="539">
        <v>1</v>
      </c>
      <c r="S69" s="327">
        <f t="shared" si="1"/>
        <v>670.71</v>
      </c>
      <c r="T69" s="282"/>
      <c r="U69" s="282"/>
      <c r="V69" s="339" t="s">
        <v>167</v>
      </c>
      <c r="W69" s="539">
        <v>1</v>
      </c>
      <c r="X69" s="552">
        <f t="shared" si="2"/>
        <v>670.71</v>
      </c>
    </row>
    <row r="70" spans="1:39" ht="14.25" customHeight="1" x14ac:dyDescent="0.25">
      <c r="A70" s="339" t="s">
        <v>169</v>
      </c>
      <c r="B70" s="559">
        <v>1</v>
      </c>
      <c r="C70" s="327">
        <f t="shared" si="4"/>
        <v>15600.130000000001</v>
      </c>
      <c r="D70" s="327">
        <f t="shared" si="9"/>
        <v>15600.130000000001</v>
      </c>
      <c r="E70" s="323">
        <v>19747</v>
      </c>
      <c r="G70" s="328" t="s">
        <v>169</v>
      </c>
      <c r="H70" s="539">
        <v>1</v>
      </c>
      <c r="I70" s="327">
        <f t="shared" si="7"/>
        <v>15600.130000000001</v>
      </c>
      <c r="J70" s="282"/>
      <c r="K70" s="282"/>
      <c r="L70" s="339" t="s">
        <v>169</v>
      </c>
      <c r="M70" s="539">
        <v>1</v>
      </c>
      <c r="N70" s="327">
        <f t="shared" si="0"/>
        <v>15600.130000000001</v>
      </c>
      <c r="O70" s="282"/>
      <c r="P70" s="282"/>
      <c r="Q70" s="339" t="s">
        <v>169</v>
      </c>
      <c r="R70" s="539">
        <v>1</v>
      </c>
      <c r="S70" s="327">
        <f t="shared" si="1"/>
        <v>15600.130000000001</v>
      </c>
      <c r="T70" s="282"/>
      <c r="U70" s="282"/>
      <c r="V70" s="339" t="s">
        <v>169</v>
      </c>
      <c r="W70" s="539">
        <v>1</v>
      </c>
      <c r="X70" s="552">
        <f t="shared" si="2"/>
        <v>15600.130000000001</v>
      </c>
    </row>
    <row r="71" spans="1:39" ht="14.25" customHeight="1" x14ac:dyDescent="0.25">
      <c r="A71" s="339" t="s">
        <v>172</v>
      </c>
      <c r="B71" s="559">
        <v>3</v>
      </c>
      <c r="C71" s="327">
        <f t="shared" si="4"/>
        <v>568.32600000000002</v>
      </c>
      <c r="D71" s="327">
        <f t="shared" si="9"/>
        <v>1704.9780000000001</v>
      </c>
      <c r="E71" s="323">
        <v>719.4</v>
      </c>
      <c r="G71" s="328" t="s">
        <v>172</v>
      </c>
      <c r="H71" s="539">
        <v>2</v>
      </c>
      <c r="I71" s="327">
        <f t="shared" si="7"/>
        <v>1136.652</v>
      </c>
      <c r="J71" s="282"/>
      <c r="K71" s="282"/>
      <c r="L71" s="339" t="s">
        <v>172</v>
      </c>
      <c r="M71" s="539">
        <v>3</v>
      </c>
      <c r="N71" s="327">
        <f t="shared" si="0"/>
        <v>1704.9780000000001</v>
      </c>
      <c r="O71" s="282"/>
      <c r="P71" s="282"/>
      <c r="Q71" s="339" t="s">
        <v>172</v>
      </c>
      <c r="R71" s="539">
        <v>2</v>
      </c>
      <c r="S71" s="327">
        <f t="shared" si="1"/>
        <v>1136.652</v>
      </c>
      <c r="T71" s="282"/>
      <c r="U71" s="282"/>
      <c r="V71" s="339" t="s">
        <v>172</v>
      </c>
      <c r="W71" s="539">
        <v>2</v>
      </c>
      <c r="X71" s="552">
        <f t="shared" si="2"/>
        <v>1136.652</v>
      </c>
    </row>
    <row r="72" spans="1:39" ht="14.25" customHeight="1" x14ac:dyDescent="0.25">
      <c r="A72" s="339" t="s">
        <v>580</v>
      </c>
      <c r="B72" s="559">
        <v>2</v>
      </c>
      <c r="C72" s="327">
        <f t="shared" si="4"/>
        <v>3249.0286036499997</v>
      </c>
      <c r="D72" s="327">
        <f t="shared" si="9"/>
        <v>6498.0572072999994</v>
      </c>
      <c r="E72" s="323">
        <f>AM78+AM79</f>
        <v>4112.6944349999994</v>
      </c>
      <c r="G72" s="328"/>
      <c r="H72" s="539">
        <v>1</v>
      </c>
      <c r="I72" s="327">
        <f t="shared" si="7"/>
        <v>3249.0286036499997</v>
      </c>
      <c r="J72" s="282"/>
      <c r="K72" s="282"/>
      <c r="L72" s="339"/>
      <c r="M72" s="539">
        <v>2</v>
      </c>
      <c r="N72" s="327">
        <f t="shared" si="0"/>
        <v>6498.0572072999994</v>
      </c>
      <c r="O72" s="282"/>
      <c r="P72" s="282"/>
      <c r="Q72" s="339"/>
      <c r="R72" s="539">
        <v>1</v>
      </c>
      <c r="S72" s="327">
        <f t="shared" si="1"/>
        <v>3249.0286036499997</v>
      </c>
      <c r="T72" s="282"/>
      <c r="U72" s="282"/>
      <c r="V72" s="339"/>
      <c r="W72" s="539">
        <v>1</v>
      </c>
      <c r="X72" s="552">
        <f t="shared" si="2"/>
        <v>3249.0286036499997</v>
      </c>
    </row>
    <row r="73" spans="1:39" ht="14.25" customHeight="1" x14ac:dyDescent="0.25">
      <c r="A73" s="339" t="s">
        <v>174</v>
      </c>
      <c r="B73" s="559">
        <v>2</v>
      </c>
      <c r="C73" s="327">
        <f t="shared" si="4"/>
        <v>1500.21</v>
      </c>
      <c r="D73" s="327">
        <f t="shared" si="9"/>
        <v>3000.42</v>
      </c>
      <c r="E73" s="323">
        <v>1899</v>
      </c>
      <c r="G73" s="328" t="s">
        <v>174</v>
      </c>
      <c r="H73" s="539">
        <v>1</v>
      </c>
      <c r="I73" s="327">
        <f t="shared" si="7"/>
        <v>1500.21</v>
      </c>
      <c r="J73" s="282"/>
      <c r="K73" s="282"/>
      <c r="L73" s="339" t="s">
        <v>174</v>
      </c>
      <c r="M73" s="539">
        <v>2</v>
      </c>
      <c r="N73" s="327">
        <f t="shared" ref="N73:N101" si="10">M73*C73</f>
        <v>3000.42</v>
      </c>
      <c r="O73" s="282"/>
      <c r="P73" s="282"/>
      <c r="Q73" s="339" t="s">
        <v>174</v>
      </c>
      <c r="R73" s="539">
        <v>1</v>
      </c>
      <c r="S73" s="327">
        <f t="shared" ref="S73:S101" si="11">R73*C73</f>
        <v>1500.21</v>
      </c>
      <c r="T73" s="282"/>
      <c r="U73" s="282"/>
      <c r="V73" s="339" t="s">
        <v>174</v>
      </c>
      <c r="W73" s="539">
        <v>1</v>
      </c>
      <c r="X73" s="552">
        <f t="shared" ref="X73:X101" si="12">W73*C73</f>
        <v>1500.21</v>
      </c>
    </row>
    <row r="74" spans="1:39" ht="14.25" customHeight="1" x14ac:dyDescent="0.25">
      <c r="A74" s="535" t="s">
        <v>175</v>
      </c>
      <c r="B74" s="560"/>
      <c r="C74" s="333"/>
      <c r="D74" s="329"/>
      <c r="E74" s="330"/>
      <c r="F74" s="331"/>
      <c r="G74" s="332"/>
      <c r="H74" s="540"/>
      <c r="I74" s="333"/>
      <c r="J74" s="334"/>
      <c r="K74" s="334"/>
      <c r="L74" s="534"/>
      <c r="M74" s="540"/>
      <c r="N74" s="333"/>
      <c r="O74" s="334"/>
      <c r="P74" s="334"/>
      <c r="Q74" s="534"/>
      <c r="R74" s="540"/>
      <c r="S74" s="333"/>
      <c r="T74" s="334"/>
      <c r="U74" s="334"/>
      <c r="V74" s="534"/>
      <c r="W74" s="540"/>
      <c r="X74" s="553"/>
    </row>
    <row r="75" spans="1:39" ht="14.25" customHeight="1" x14ac:dyDescent="0.25">
      <c r="A75" s="339" t="s">
        <v>176</v>
      </c>
      <c r="B75" s="559">
        <v>1</v>
      </c>
      <c r="C75" s="327">
        <f t="shared" si="4"/>
        <v>11747.578166899997</v>
      </c>
      <c r="D75" s="327">
        <f t="shared" ref="D75:D86" si="13">B75*C75</f>
        <v>11747.578166899997</v>
      </c>
      <c r="E75" s="323">
        <f>AM76</f>
        <v>14870.352109999996</v>
      </c>
      <c r="G75" s="328" t="s">
        <v>176</v>
      </c>
      <c r="H75" s="539">
        <v>1</v>
      </c>
      <c r="I75" s="327">
        <f t="shared" si="7"/>
        <v>11747.578166899997</v>
      </c>
      <c r="J75" s="282"/>
      <c r="K75" s="282"/>
      <c r="L75" s="339" t="s">
        <v>176</v>
      </c>
      <c r="M75" s="539">
        <v>1</v>
      </c>
      <c r="N75" s="327">
        <f t="shared" si="10"/>
        <v>11747.578166899997</v>
      </c>
      <c r="O75" s="282"/>
      <c r="P75" s="282"/>
      <c r="Q75" s="339" t="s">
        <v>176</v>
      </c>
      <c r="R75" s="539">
        <v>1</v>
      </c>
      <c r="S75" s="327">
        <f t="shared" si="11"/>
        <v>11747.578166899997</v>
      </c>
      <c r="T75" s="282"/>
      <c r="U75" s="282"/>
      <c r="V75" s="339" t="s">
        <v>176</v>
      </c>
      <c r="W75" s="539">
        <v>0.5</v>
      </c>
      <c r="X75" s="552">
        <f t="shared" si="12"/>
        <v>5873.7890834499985</v>
      </c>
      <c r="AB75" s="282"/>
      <c r="AC75" s="282" t="s">
        <v>572</v>
      </c>
      <c r="AD75" s="336">
        <v>1136.29</v>
      </c>
      <c r="AE75" s="282" t="s">
        <v>575</v>
      </c>
      <c r="AF75" s="336">
        <v>390</v>
      </c>
      <c r="AG75" s="282" t="s">
        <v>576</v>
      </c>
      <c r="AH75" s="336">
        <v>240</v>
      </c>
      <c r="AI75" s="282" t="s">
        <v>578</v>
      </c>
      <c r="AJ75" s="336">
        <v>52.67</v>
      </c>
      <c r="AK75" s="282" t="s">
        <v>577</v>
      </c>
      <c r="AL75" s="336">
        <v>195</v>
      </c>
      <c r="AM75" s="282" t="s">
        <v>67</v>
      </c>
    </row>
    <row r="76" spans="1:39" ht="14.25" customHeight="1" x14ac:dyDescent="0.25">
      <c r="A76" s="339" t="s">
        <v>177</v>
      </c>
      <c r="B76" s="559">
        <v>1</v>
      </c>
      <c r="C76" s="327">
        <f t="shared" ref="C76:C101" si="14">E76-E76*0.21</f>
        <v>10444.487884599999</v>
      </c>
      <c r="D76" s="327">
        <f t="shared" si="13"/>
        <v>10444.487884599999</v>
      </c>
      <c r="E76" s="323">
        <f>AM77</f>
        <v>13220.870739999998</v>
      </c>
      <c r="G76" s="328" t="s">
        <v>177</v>
      </c>
      <c r="H76" s="539">
        <v>1</v>
      </c>
      <c r="I76" s="327">
        <f t="shared" si="7"/>
        <v>10444.487884599999</v>
      </c>
      <c r="J76" s="282"/>
      <c r="K76" s="282"/>
      <c r="L76" s="339" t="s">
        <v>177</v>
      </c>
      <c r="M76" s="539">
        <v>1</v>
      </c>
      <c r="N76" s="327">
        <f t="shared" si="10"/>
        <v>10444.487884599999</v>
      </c>
      <c r="O76" s="282"/>
      <c r="P76" s="282"/>
      <c r="Q76" s="339" t="s">
        <v>177</v>
      </c>
      <c r="R76" s="539">
        <v>1</v>
      </c>
      <c r="S76" s="327">
        <f t="shared" si="11"/>
        <v>10444.487884599999</v>
      </c>
      <c r="T76" s="282"/>
      <c r="U76" s="282"/>
      <c r="V76" s="339" t="s">
        <v>177</v>
      </c>
      <c r="W76" s="539">
        <v>0.5</v>
      </c>
      <c r="X76" s="552">
        <f t="shared" si="12"/>
        <v>5222.2439422999996</v>
      </c>
      <c r="AB76" s="282" t="s">
        <v>573</v>
      </c>
      <c r="AC76" s="282">
        <f>(3.6+1.92+1.8+0.69+0.45+0.2)*1.15</f>
        <v>9.9589999999999979</v>
      </c>
      <c r="AD76" s="337">
        <f>AC76*AD75</f>
        <v>11316.312109999997</v>
      </c>
      <c r="AE76" s="282">
        <v>3.8</v>
      </c>
      <c r="AF76" s="337">
        <f>AE76*AF75</f>
        <v>1482</v>
      </c>
      <c r="AG76" s="282">
        <v>6</v>
      </c>
      <c r="AH76" s="337">
        <f>AG76*AH75</f>
        <v>1440</v>
      </c>
      <c r="AI76" s="282">
        <v>12</v>
      </c>
      <c r="AJ76" s="337">
        <f>AI76*AJ75</f>
        <v>632.04</v>
      </c>
      <c r="AK76" s="282">
        <v>0</v>
      </c>
      <c r="AL76" s="337">
        <f>AK76*AL75</f>
        <v>0</v>
      </c>
      <c r="AM76" s="337">
        <f>AD76+AF76+AH76+AJ76+AL76</f>
        <v>14870.352109999996</v>
      </c>
    </row>
    <row r="77" spans="1:39" ht="14.25" customHeight="1" x14ac:dyDescent="0.25">
      <c r="A77" s="339" t="s">
        <v>179</v>
      </c>
      <c r="B77" s="559">
        <v>1</v>
      </c>
      <c r="C77" s="327">
        <f t="shared" si="14"/>
        <v>3321.95</v>
      </c>
      <c r="D77" s="327">
        <f t="shared" si="13"/>
        <v>3321.95</v>
      </c>
      <c r="E77" s="323">
        <v>4205</v>
      </c>
      <c r="G77" s="328" t="s">
        <v>179</v>
      </c>
      <c r="H77" s="539">
        <v>1</v>
      </c>
      <c r="I77" s="327">
        <f t="shared" si="7"/>
        <v>3321.95</v>
      </c>
      <c r="J77" s="282"/>
      <c r="K77" s="282"/>
      <c r="L77" s="339" t="s">
        <v>179</v>
      </c>
      <c r="M77" s="539">
        <v>1</v>
      </c>
      <c r="N77" s="327">
        <f t="shared" si="10"/>
        <v>3321.95</v>
      </c>
      <c r="O77" s="282"/>
      <c r="P77" s="282"/>
      <c r="Q77" s="339" t="s">
        <v>179</v>
      </c>
      <c r="R77" s="539">
        <v>1</v>
      </c>
      <c r="S77" s="327">
        <f t="shared" si="11"/>
        <v>3321.95</v>
      </c>
      <c r="T77" s="282"/>
      <c r="U77" s="282"/>
      <c r="V77" s="339" t="s">
        <v>179</v>
      </c>
      <c r="W77" s="539">
        <v>1</v>
      </c>
      <c r="X77" s="552">
        <f t="shared" si="12"/>
        <v>3321.95</v>
      </c>
      <c r="AB77" s="282" t="s">
        <v>574</v>
      </c>
      <c r="AC77" s="282">
        <f>(2.7+0.9+3.6+0.48+0.76)*1.15</f>
        <v>9.7059999999999995</v>
      </c>
      <c r="AD77" s="337">
        <f>AC77*AD75</f>
        <v>11028.830739999999</v>
      </c>
      <c r="AE77" s="282">
        <v>3</v>
      </c>
      <c r="AF77" s="337">
        <f>AE77*AF75</f>
        <v>1170</v>
      </c>
      <c r="AG77" s="282">
        <v>0</v>
      </c>
      <c r="AH77" s="337">
        <f>AG77*AH75</f>
        <v>0</v>
      </c>
      <c r="AI77" s="282">
        <v>12</v>
      </c>
      <c r="AJ77" s="337">
        <f>AI77*AJ75</f>
        <v>632.04</v>
      </c>
      <c r="AK77" s="282">
        <v>2</v>
      </c>
      <c r="AL77" s="337">
        <f>AK77*AL75</f>
        <v>390</v>
      </c>
      <c r="AM77" s="337">
        <f>AD77+AF77+AH77+AJ77+AL77</f>
        <v>13220.870739999998</v>
      </c>
    </row>
    <row r="78" spans="1:39" ht="14.25" customHeight="1" x14ac:dyDescent="0.25">
      <c r="A78" s="339" t="s">
        <v>180</v>
      </c>
      <c r="B78" s="559">
        <v>1</v>
      </c>
      <c r="C78" s="327">
        <f t="shared" si="14"/>
        <v>14320.488000000001</v>
      </c>
      <c r="D78" s="327">
        <f t="shared" si="13"/>
        <v>14320.488000000001</v>
      </c>
      <c r="E78" s="323">
        <v>18127.2</v>
      </c>
      <c r="G78" s="328" t="s">
        <v>180</v>
      </c>
      <c r="H78" s="539">
        <v>1</v>
      </c>
      <c r="I78" s="327">
        <f t="shared" si="7"/>
        <v>14320.488000000001</v>
      </c>
      <c r="J78" s="282"/>
      <c r="K78" s="282"/>
      <c r="L78" s="339" t="s">
        <v>180</v>
      </c>
      <c r="M78" s="539">
        <v>1</v>
      </c>
      <c r="N78" s="327">
        <f t="shared" si="10"/>
        <v>14320.488000000001</v>
      </c>
      <c r="O78" s="282"/>
      <c r="P78" s="282"/>
      <c r="Q78" s="339" t="s">
        <v>180</v>
      </c>
      <c r="R78" s="539">
        <v>1</v>
      </c>
      <c r="S78" s="327">
        <f t="shared" si="11"/>
        <v>14320.488000000001</v>
      </c>
      <c r="T78" s="282"/>
      <c r="U78" s="282"/>
      <c r="V78" s="339" t="s">
        <v>180</v>
      </c>
      <c r="W78" s="539">
        <v>0.5</v>
      </c>
      <c r="X78" s="552">
        <f t="shared" si="12"/>
        <v>7160.2440000000006</v>
      </c>
      <c r="AB78" s="282" t="s">
        <v>587</v>
      </c>
      <c r="AC78" s="282">
        <f>(0.57+0.72+0.51)*1.15</f>
        <v>2.0699999999999998</v>
      </c>
      <c r="AD78" s="337">
        <f>AC78*AD75</f>
        <v>2352.1202999999996</v>
      </c>
      <c r="AE78" s="282">
        <v>0.64</v>
      </c>
      <c r="AF78" s="337">
        <f>AE78*AF75</f>
        <v>249.6</v>
      </c>
      <c r="AG78" s="282">
        <v>0</v>
      </c>
      <c r="AH78" s="337">
        <f>AG78*AH75</f>
        <v>0</v>
      </c>
      <c r="AI78" s="282">
        <v>4</v>
      </c>
      <c r="AJ78" s="337">
        <f>AI78*AJ75</f>
        <v>210.68</v>
      </c>
      <c r="AK78" s="282">
        <v>0</v>
      </c>
      <c r="AL78" s="337">
        <f>AK78*AL75</f>
        <v>0</v>
      </c>
      <c r="AM78" s="337">
        <f>AD78+AF78+AH78+AJ78+AL78</f>
        <v>2812.4002999999993</v>
      </c>
    </row>
    <row r="79" spans="1:39" ht="14.25" customHeight="1" x14ac:dyDescent="0.25">
      <c r="A79" s="339" t="s">
        <v>581</v>
      </c>
      <c r="B79" s="559">
        <v>0</v>
      </c>
      <c r="C79" s="327">
        <f t="shared" si="14"/>
        <v>4727.7266863999994</v>
      </c>
      <c r="D79" s="327">
        <f t="shared" si="13"/>
        <v>0</v>
      </c>
      <c r="E79" s="323">
        <f>AM84</f>
        <v>5984.4641599999995</v>
      </c>
      <c r="G79" s="338"/>
      <c r="H79" s="539">
        <v>0</v>
      </c>
      <c r="I79" s="327">
        <f t="shared" si="7"/>
        <v>0</v>
      </c>
      <c r="J79" s="282"/>
      <c r="K79" s="282"/>
      <c r="L79" s="339"/>
      <c r="M79" s="539">
        <v>1</v>
      </c>
      <c r="N79" s="327">
        <f t="shared" si="10"/>
        <v>4727.7266863999994</v>
      </c>
      <c r="O79" s="282"/>
      <c r="P79" s="282"/>
      <c r="Q79" s="339"/>
      <c r="R79" s="539">
        <v>1</v>
      </c>
      <c r="S79" s="327">
        <f t="shared" si="11"/>
        <v>4727.7266863999994</v>
      </c>
      <c r="T79" s="282"/>
      <c r="U79" s="282"/>
      <c r="V79" s="339"/>
      <c r="W79" s="539">
        <v>1</v>
      </c>
      <c r="X79" s="552">
        <f t="shared" si="12"/>
        <v>4727.7266863999994</v>
      </c>
      <c r="AB79" s="282" t="s">
        <v>588</v>
      </c>
      <c r="AC79" s="282">
        <f>(0.21+0.42+0.18)*1.15</f>
        <v>0.93149999999999999</v>
      </c>
      <c r="AD79" s="337">
        <f>AC79*$AD$75</f>
        <v>1058.454135</v>
      </c>
      <c r="AE79" s="282">
        <v>0.35</v>
      </c>
      <c r="AF79" s="337">
        <f>AE79*$AF$75</f>
        <v>136.5</v>
      </c>
      <c r="AG79" s="282">
        <v>0</v>
      </c>
      <c r="AH79" s="337">
        <f>AG79*$AH$75</f>
        <v>0</v>
      </c>
      <c r="AI79" s="282">
        <v>2</v>
      </c>
      <c r="AJ79" s="337">
        <f>AI79*$AJ$75</f>
        <v>105.34</v>
      </c>
      <c r="AK79" s="282">
        <v>0</v>
      </c>
      <c r="AL79" s="337">
        <f>AK79*$AL$75</f>
        <v>0</v>
      </c>
      <c r="AM79" s="337">
        <f>AD79+AF79+AH79+AJ79+AL79</f>
        <v>1300.2941349999999</v>
      </c>
    </row>
    <row r="80" spans="1:39" ht="14.25" customHeight="1" x14ac:dyDescent="0.25">
      <c r="A80" s="339" t="s">
        <v>163</v>
      </c>
      <c r="B80" s="559">
        <v>1</v>
      </c>
      <c r="C80" s="327">
        <f t="shared" si="14"/>
        <v>3013.85</v>
      </c>
      <c r="D80" s="327">
        <f t="shared" si="13"/>
        <v>3013.85</v>
      </c>
      <c r="E80" s="323">
        <v>3815</v>
      </c>
      <c r="G80" s="338" t="s">
        <v>163</v>
      </c>
      <c r="H80" s="539">
        <v>1</v>
      </c>
      <c r="I80" s="327">
        <f t="shared" si="7"/>
        <v>3013.85</v>
      </c>
      <c r="J80" s="282"/>
      <c r="K80" s="282"/>
      <c r="L80" s="339" t="s">
        <v>163</v>
      </c>
      <c r="M80" s="539">
        <v>1</v>
      </c>
      <c r="N80" s="327">
        <f t="shared" si="10"/>
        <v>3013.85</v>
      </c>
      <c r="O80" s="282"/>
      <c r="P80" s="282"/>
      <c r="Q80" s="339" t="s">
        <v>163</v>
      </c>
      <c r="R80" s="539">
        <v>1</v>
      </c>
      <c r="S80" s="327">
        <f t="shared" si="11"/>
        <v>3013.85</v>
      </c>
      <c r="T80" s="282"/>
      <c r="U80" s="282"/>
      <c r="V80" s="339" t="s">
        <v>163</v>
      </c>
      <c r="W80" s="539">
        <v>1</v>
      </c>
      <c r="X80" s="552">
        <f t="shared" si="12"/>
        <v>3013.85</v>
      </c>
      <c r="AB80" s="282" t="s">
        <v>583</v>
      </c>
      <c r="AC80" s="282">
        <f>(2.75+1.32+0.08+0.15+0.06+0.2)*1.15</f>
        <v>5.2439999999999998</v>
      </c>
      <c r="AD80" s="337">
        <f t="shared" ref="AD80:AD84" si="15">AC80*$AD$75</f>
        <v>5958.7047599999996</v>
      </c>
      <c r="AE80" s="282">
        <v>0.4</v>
      </c>
      <c r="AF80" s="337">
        <f t="shared" ref="AF80:AF83" si="16">AE80*$AF$75</f>
        <v>156</v>
      </c>
      <c r="AG80" s="282">
        <v>2</v>
      </c>
      <c r="AH80" s="337">
        <f t="shared" ref="AH80:AH83" si="17">AG80*$AH$75</f>
        <v>480</v>
      </c>
      <c r="AI80" s="282">
        <v>0</v>
      </c>
      <c r="AJ80" s="337">
        <f t="shared" ref="AJ80:AJ83" si="18">AI80*$AJ$75</f>
        <v>0</v>
      </c>
      <c r="AK80" s="282">
        <v>0</v>
      </c>
      <c r="AL80" s="337">
        <f t="shared" ref="AL80:AL83" si="19">AK80*$AL$75</f>
        <v>0</v>
      </c>
      <c r="AM80" s="337">
        <f t="shared" ref="AM80:AM84" si="20">AD80+AF80+AH80+AJ80+AL80</f>
        <v>6594.7047599999996</v>
      </c>
    </row>
    <row r="81" spans="1:39" ht="14.25" customHeight="1" x14ac:dyDescent="0.25">
      <c r="A81" s="339" t="s">
        <v>182</v>
      </c>
      <c r="B81" s="559">
        <v>1</v>
      </c>
      <c r="C81" s="327">
        <f t="shared" si="14"/>
        <v>371.50540000000001</v>
      </c>
      <c r="D81" s="327">
        <f t="shared" si="13"/>
        <v>371.50540000000001</v>
      </c>
      <c r="E81" s="323">
        <v>470.26</v>
      </c>
      <c r="G81" s="339" t="s">
        <v>182</v>
      </c>
      <c r="H81" s="539">
        <v>1</v>
      </c>
      <c r="I81" s="327">
        <f t="shared" si="7"/>
        <v>371.50540000000001</v>
      </c>
      <c r="J81" s="282"/>
      <c r="K81" s="282"/>
      <c r="L81" s="339" t="s">
        <v>182</v>
      </c>
      <c r="M81" s="539">
        <v>1</v>
      </c>
      <c r="N81" s="327">
        <f t="shared" si="10"/>
        <v>371.50540000000001</v>
      </c>
      <c r="O81" s="282"/>
      <c r="P81" s="282"/>
      <c r="Q81" s="339" t="s">
        <v>182</v>
      </c>
      <c r="R81" s="539">
        <v>1</v>
      </c>
      <c r="S81" s="327">
        <f t="shared" si="11"/>
        <v>371.50540000000001</v>
      </c>
      <c r="T81" s="282"/>
      <c r="U81" s="282"/>
      <c r="V81" s="339" t="s">
        <v>182</v>
      </c>
      <c r="W81" s="539">
        <v>0</v>
      </c>
      <c r="X81" s="552">
        <f t="shared" si="12"/>
        <v>0</v>
      </c>
      <c r="AB81" s="282" t="s">
        <v>584</v>
      </c>
      <c r="AC81" s="282">
        <f>(3.6+2.88+5.4+1.32+0.6+0.82+1.32+0.6+1.65+0.6)*1.15</f>
        <v>21.608500000000003</v>
      </c>
      <c r="AD81" s="337">
        <f t="shared" si="15"/>
        <v>24553.522465000002</v>
      </c>
      <c r="AE81" s="282">
        <v>6</v>
      </c>
      <c r="AF81" s="337">
        <f t="shared" si="16"/>
        <v>2340</v>
      </c>
      <c r="AG81" s="282">
        <v>18</v>
      </c>
      <c r="AH81" s="337">
        <f t="shared" si="17"/>
        <v>4320</v>
      </c>
      <c r="AI81" s="282">
        <v>0</v>
      </c>
      <c r="AJ81" s="337">
        <f t="shared" si="18"/>
        <v>0</v>
      </c>
      <c r="AK81" s="282">
        <v>6</v>
      </c>
      <c r="AL81" s="337">
        <f t="shared" si="19"/>
        <v>1170</v>
      </c>
      <c r="AM81" s="337">
        <f t="shared" si="20"/>
        <v>32383.522465000002</v>
      </c>
    </row>
    <row r="82" spans="1:39" ht="14.25" customHeight="1" x14ac:dyDescent="0.25">
      <c r="A82" s="535" t="s">
        <v>582</v>
      </c>
      <c r="B82" s="560"/>
      <c r="C82" s="333"/>
      <c r="D82" s="329"/>
      <c r="E82" s="330"/>
      <c r="F82" s="331"/>
      <c r="G82" s="340"/>
      <c r="H82" s="540"/>
      <c r="I82" s="333"/>
      <c r="J82" s="334"/>
      <c r="K82" s="334"/>
      <c r="L82" s="534"/>
      <c r="M82" s="540"/>
      <c r="N82" s="333"/>
      <c r="O82" s="334"/>
      <c r="P82" s="334"/>
      <c r="Q82" s="534"/>
      <c r="R82" s="540"/>
      <c r="S82" s="333"/>
      <c r="T82" s="334"/>
      <c r="U82" s="334"/>
      <c r="V82" s="534"/>
      <c r="W82" s="540"/>
      <c r="X82" s="553"/>
      <c r="AB82" s="282" t="s">
        <v>585</v>
      </c>
      <c r="AC82" s="282">
        <f>(2.8+0.76+2.38+0.3+0.43+0.32+0.43)*1.15</f>
        <v>8.5329999999999977</v>
      </c>
      <c r="AD82" s="337">
        <f t="shared" si="15"/>
        <v>9695.9625699999979</v>
      </c>
      <c r="AE82" s="282">
        <v>2.6</v>
      </c>
      <c r="AF82" s="337">
        <f t="shared" si="16"/>
        <v>1014</v>
      </c>
      <c r="AG82" s="282">
        <v>8</v>
      </c>
      <c r="AH82" s="337">
        <f t="shared" si="17"/>
        <v>1920</v>
      </c>
      <c r="AI82" s="282">
        <v>4</v>
      </c>
      <c r="AJ82" s="337">
        <f t="shared" si="18"/>
        <v>210.68</v>
      </c>
      <c r="AK82" s="282">
        <v>0</v>
      </c>
      <c r="AL82" s="337">
        <f t="shared" si="19"/>
        <v>0</v>
      </c>
      <c r="AM82" s="337">
        <f t="shared" si="20"/>
        <v>12840.642569999998</v>
      </c>
    </row>
    <row r="83" spans="1:39" ht="14.25" customHeight="1" x14ac:dyDescent="0.25">
      <c r="A83" s="339" t="s">
        <v>583</v>
      </c>
      <c r="B83" s="559">
        <v>2.2200000000000002</v>
      </c>
      <c r="C83" s="327">
        <f t="shared" si="14"/>
        <v>5209.8167604</v>
      </c>
      <c r="D83" s="327">
        <f t="shared" si="13"/>
        <v>11565.793208088002</v>
      </c>
      <c r="E83" s="323">
        <f>AM80</f>
        <v>6594.7047599999996</v>
      </c>
      <c r="G83" s="341"/>
      <c r="H83" s="539">
        <v>2.23</v>
      </c>
      <c r="I83" s="327">
        <f t="shared" si="7"/>
        <v>11617.891375691999</v>
      </c>
      <c r="J83" s="282"/>
      <c r="K83" s="282"/>
      <c r="L83" s="339"/>
      <c r="M83" s="539">
        <v>4.4800000000000004</v>
      </c>
      <c r="N83" s="327">
        <f t="shared" si="10"/>
        <v>23339.979086592004</v>
      </c>
      <c r="O83" s="282"/>
      <c r="P83" s="282"/>
      <c r="Q83" s="339"/>
      <c r="R83" s="539">
        <v>0</v>
      </c>
      <c r="S83" s="327">
        <f t="shared" si="11"/>
        <v>0</v>
      </c>
      <c r="T83" s="282"/>
      <c r="U83" s="282"/>
      <c r="V83" s="339"/>
      <c r="W83" s="539">
        <v>0</v>
      </c>
      <c r="X83" s="552">
        <f t="shared" si="12"/>
        <v>0</v>
      </c>
      <c r="AB83" s="282" t="s">
        <v>589</v>
      </c>
      <c r="AC83" s="282">
        <f>(0.27+0.24+0.06+0.08+0.04)*1.15</f>
        <v>0.79349999999999998</v>
      </c>
      <c r="AD83" s="337">
        <f t="shared" si="15"/>
        <v>901.6461149999999</v>
      </c>
      <c r="AE83" s="282">
        <v>0.3</v>
      </c>
      <c r="AF83" s="337">
        <f t="shared" si="16"/>
        <v>117</v>
      </c>
      <c r="AG83" s="282">
        <v>2</v>
      </c>
      <c r="AH83" s="337">
        <f t="shared" si="17"/>
        <v>480</v>
      </c>
      <c r="AI83" s="282">
        <v>0</v>
      </c>
      <c r="AJ83" s="337">
        <f t="shared" si="18"/>
        <v>0</v>
      </c>
      <c r="AK83" s="282">
        <v>0</v>
      </c>
      <c r="AL83" s="337">
        <f t="shared" si="19"/>
        <v>0</v>
      </c>
      <c r="AM83" s="337">
        <f t="shared" si="20"/>
        <v>1498.646115</v>
      </c>
    </row>
    <row r="84" spans="1:39" ht="14.25" customHeight="1" x14ac:dyDescent="0.25">
      <c r="A84" s="339" t="s">
        <v>584</v>
      </c>
      <c r="B84" s="559">
        <v>0</v>
      </c>
      <c r="C84" s="327">
        <f t="shared" si="14"/>
        <v>25582.982747350001</v>
      </c>
      <c r="D84" s="327">
        <f t="shared" si="13"/>
        <v>0</v>
      </c>
      <c r="E84" s="323">
        <f t="shared" ref="E84:E86" si="21">AM81</f>
        <v>32383.522465000002</v>
      </c>
      <c r="G84" s="341"/>
      <c r="H84" s="539">
        <v>0</v>
      </c>
      <c r="I84" s="327">
        <f t="shared" si="7"/>
        <v>0</v>
      </c>
      <c r="J84" s="282"/>
      <c r="K84" s="282"/>
      <c r="L84" s="339"/>
      <c r="M84" s="539">
        <v>0</v>
      </c>
      <c r="N84" s="327">
        <f t="shared" si="10"/>
        <v>0</v>
      </c>
      <c r="O84" s="282"/>
      <c r="P84" s="282"/>
      <c r="Q84" s="339"/>
      <c r="R84" s="539">
        <v>2</v>
      </c>
      <c r="S84" s="327">
        <f t="shared" si="11"/>
        <v>51165.965494700002</v>
      </c>
      <c r="T84" s="282"/>
      <c r="U84" s="282"/>
      <c r="V84" s="339"/>
      <c r="W84" s="539">
        <v>0</v>
      </c>
      <c r="X84" s="552">
        <f t="shared" si="12"/>
        <v>0</v>
      </c>
      <c r="AB84" s="342" t="s">
        <v>581</v>
      </c>
      <c r="AC84" s="282">
        <f>0.96*1.15</f>
        <v>1.1039999999999999</v>
      </c>
      <c r="AD84" s="337">
        <f t="shared" si="15"/>
        <v>1254.4641599999998</v>
      </c>
      <c r="AE84" s="282" t="s">
        <v>590</v>
      </c>
      <c r="AF84" s="336">
        <v>4730</v>
      </c>
      <c r="AG84" s="282"/>
      <c r="AH84" s="282"/>
      <c r="AI84" s="282"/>
      <c r="AJ84" s="282"/>
      <c r="AK84" s="282"/>
      <c r="AL84" s="282"/>
      <c r="AM84" s="337">
        <f t="shared" si="20"/>
        <v>5984.4641599999995</v>
      </c>
    </row>
    <row r="85" spans="1:39" ht="14.25" customHeight="1" x14ac:dyDescent="0.25">
      <c r="A85" s="339" t="s">
        <v>585</v>
      </c>
      <c r="B85" s="559">
        <v>1</v>
      </c>
      <c r="C85" s="327">
        <f t="shared" si="14"/>
        <v>10144.107630299999</v>
      </c>
      <c r="D85" s="327">
        <f t="shared" si="13"/>
        <v>10144.107630299999</v>
      </c>
      <c r="E85" s="323">
        <f t="shared" si="21"/>
        <v>12840.642569999998</v>
      </c>
      <c r="G85" s="341"/>
      <c r="H85" s="539">
        <v>1</v>
      </c>
      <c r="I85" s="327">
        <f t="shared" si="7"/>
        <v>10144.107630299999</v>
      </c>
      <c r="J85" s="282"/>
      <c r="K85" s="282"/>
      <c r="L85" s="339"/>
      <c r="M85" s="539">
        <v>1</v>
      </c>
      <c r="N85" s="327">
        <f t="shared" si="10"/>
        <v>10144.107630299999</v>
      </c>
      <c r="O85" s="282"/>
      <c r="P85" s="282"/>
      <c r="Q85" s="339"/>
      <c r="R85" s="539">
        <v>0</v>
      </c>
      <c r="S85" s="327">
        <f t="shared" si="11"/>
        <v>0</v>
      </c>
      <c r="T85" s="282"/>
      <c r="U85" s="282"/>
      <c r="V85" s="339"/>
      <c r="W85" s="539">
        <v>0</v>
      </c>
      <c r="X85" s="552">
        <f t="shared" si="12"/>
        <v>0</v>
      </c>
    </row>
    <row r="86" spans="1:39" ht="14.25" customHeight="1" x14ac:dyDescent="0.25">
      <c r="A86" s="537" t="s">
        <v>586</v>
      </c>
      <c r="B86" s="559">
        <v>2</v>
      </c>
      <c r="C86" s="327">
        <f t="shared" si="14"/>
        <v>1183.93043085</v>
      </c>
      <c r="D86" s="327">
        <f t="shared" si="13"/>
        <v>2367.8608617</v>
      </c>
      <c r="E86" s="323">
        <f t="shared" si="21"/>
        <v>1498.646115</v>
      </c>
      <c r="G86" s="341"/>
      <c r="H86" s="539">
        <v>2</v>
      </c>
      <c r="I86" s="327">
        <f t="shared" si="7"/>
        <v>2367.8608617</v>
      </c>
      <c r="J86" s="282"/>
      <c r="K86" s="282"/>
      <c r="L86" s="339"/>
      <c r="M86" s="539">
        <v>2</v>
      </c>
      <c r="N86" s="327">
        <f t="shared" si="10"/>
        <v>2367.8608617</v>
      </c>
      <c r="O86" s="282"/>
      <c r="P86" s="282"/>
      <c r="Q86" s="339"/>
      <c r="R86" s="539">
        <v>3</v>
      </c>
      <c r="S86" s="327">
        <f t="shared" si="11"/>
        <v>3551.79129255</v>
      </c>
      <c r="T86" s="282"/>
      <c r="U86" s="282"/>
      <c r="V86" s="339"/>
      <c r="W86" s="539">
        <v>0</v>
      </c>
      <c r="X86" s="552">
        <f t="shared" si="12"/>
        <v>0</v>
      </c>
    </row>
    <row r="87" spans="1:39" ht="14.25" customHeight="1" x14ac:dyDescent="0.25">
      <c r="A87" s="535" t="s">
        <v>183</v>
      </c>
      <c r="B87" s="560"/>
      <c r="C87" s="333"/>
      <c r="D87" s="329"/>
      <c r="E87" s="330"/>
      <c r="F87" s="331"/>
      <c r="G87" s="340"/>
      <c r="H87" s="540"/>
      <c r="I87" s="333"/>
      <c r="J87" s="334"/>
      <c r="K87" s="334"/>
      <c r="L87" s="534"/>
      <c r="M87" s="540"/>
      <c r="N87" s="333"/>
      <c r="O87" s="334"/>
      <c r="P87" s="334"/>
      <c r="Q87" s="534"/>
      <c r="R87" s="540"/>
      <c r="S87" s="333"/>
      <c r="T87" s="334"/>
      <c r="U87" s="334"/>
      <c r="V87" s="534"/>
      <c r="W87" s="540"/>
      <c r="X87" s="553"/>
    </row>
    <row r="88" spans="1:39" ht="14.25" customHeight="1" x14ac:dyDescent="0.25">
      <c r="A88" s="339" t="s">
        <v>185</v>
      </c>
      <c r="B88" s="559">
        <v>5.0999999999999996</v>
      </c>
      <c r="C88" s="327">
        <f t="shared" si="14"/>
        <v>84.782799999999995</v>
      </c>
      <c r="D88" s="327">
        <f>B88*C88</f>
        <v>432.39227999999991</v>
      </c>
      <c r="E88" s="323">
        <v>107.32</v>
      </c>
      <c r="G88" s="328" t="s">
        <v>185</v>
      </c>
      <c r="H88" s="539">
        <v>9.64</v>
      </c>
      <c r="I88" s="327">
        <f t="shared" si="7"/>
        <v>817.30619200000001</v>
      </c>
      <c r="J88" s="282"/>
      <c r="K88" s="282"/>
      <c r="L88" s="339" t="s">
        <v>185</v>
      </c>
      <c r="M88" s="539">
        <v>15.73</v>
      </c>
      <c r="N88" s="327">
        <f t="shared" si="10"/>
        <v>1333.6334440000001</v>
      </c>
      <c r="O88" s="282"/>
      <c r="P88" s="282"/>
      <c r="Q88" s="339" t="s">
        <v>185</v>
      </c>
      <c r="R88" s="539">
        <v>8.07</v>
      </c>
      <c r="S88" s="327">
        <f t="shared" si="11"/>
        <v>684.19719599999996</v>
      </c>
      <c r="T88" s="282"/>
      <c r="U88" s="282"/>
      <c r="V88" s="339" t="s">
        <v>185</v>
      </c>
      <c r="W88" s="539">
        <v>5.32</v>
      </c>
      <c r="X88" s="552">
        <f t="shared" si="12"/>
        <v>451.04449599999998</v>
      </c>
    </row>
    <row r="89" spans="1:39" ht="14.25" customHeight="1" x14ac:dyDescent="0.25">
      <c r="A89" s="339" t="s">
        <v>186</v>
      </c>
      <c r="B89" s="559">
        <v>3</v>
      </c>
      <c r="C89" s="327">
        <f t="shared" si="14"/>
        <v>136.07749999999999</v>
      </c>
      <c r="D89" s="327">
        <f>B89*C89</f>
        <v>408.23249999999996</v>
      </c>
      <c r="E89" s="323">
        <v>172.25</v>
      </c>
      <c r="G89" s="328" t="s">
        <v>186</v>
      </c>
      <c r="H89" s="539">
        <v>1.5</v>
      </c>
      <c r="I89" s="327">
        <f t="shared" si="7"/>
        <v>204.11624999999998</v>
      </c>
      <c r="J89" s="282"/>
      <c r="K89" s="282"/>
      <c r="L89" s="339" t="s">
        <v>186</v>
      </c>
      <c r="M89" s="539">
        <v>3</v>
      </c>
      <c r="N89" s="327">
        <f t="shared" si="10"/>
        <v>408.23249999999996</v>
      </c>
      <c r="O89" s="282"/>
      <c r="P89" s="282"/>
      <c r="Q89" s="339" t="s">
        <v>186</v>
      </c>
      <c r="R89" s="539">
        <v>1.5</v>
      </c>
      <c r="S89" s="327">
        <f t="shared" si="11"/>
        <v>204.11624999999998</v>
      </c>
      <c r="T89" s="282"/>
      <c r="U89" s="282"/>
      <c r="V89" s="339" t="s">
        <v>186</v>
      </c>
      <c r="W89" s="539">
        <v>1.5</v>
      </c>
      <c r="X89" s="552">
        <f t="shared" si="12"/>
        <v>204.11624999999998</v>
      </c>
    </row>
    <row r="90" spans="1:39" ht="14.25" customHeight="1" x14ac:dyDescent="0.25">
      <c r="A90" s="535" t="s">
        <v>187</v>
      </c>
      <c r="B90" s="560"/>
      <c r="C90" s="333"/>
      <c r="D90" s="329"/>
      <c r="E90" s="330"/>
      <c r="F90" s="331"/>
      <c r="G90" s="332"/>
      <c r="H90" s="540"/>
      <c r="I90" s="333"/>
      <c r="J90" s="334"/>
      <c r="K90" s="334"/>
      <c r="L90" s="534"/>
      <c r="M90" s="540"/>
      <c r="N90" s="333"/>
      <c r="O90" s="334"/>
      <c r="P90" s="334"/>
      <c r="Q90" s="534"/>
      <c r="R90" s="540"/>
      <c r="S90" s="333"/>
      <c r="T90" s="334"/>
      <c r="U90" s="334"/>
      <c r="V90" s="534"/>
      <c r="W90" s="540"/>
      <c r="X90" s="553"/>
    </row>
    <row r="91" spans="1:39" ht="14.25" customHeight="1" x14ac:dyDescent="0.25">
      <c r="A91" s="339" t="s">
        <v>188</v>
      </c>
      <c r="B91" s="559">
        <v>2</v>
      </c>
      <c r="C91" s="327">
        <f t="shared" si="14"/>
        <v>37129.21</v>
      </c>
      <c r="D91" s="327">
        <f>B91*C91</f>
        <v>74258.42</v>
      </c>
      <c r="E91" s="323">
        <v>46999</v>
      </c>
      <c r="G91" s="328" t="s">
        <v>188</v>
      </c>
      <c r="H91" s="539">
        <v>2</v>
      </c>
      <c r="I91" s="327">
        <f t="shared" si="7"/>
        <v>74258.42</v>
      </c>
      <c r="J91" s="282"/>
      <c r="K91" s="282"/>
      <c r="L91" s="339" t="s">
        <v>188</v>
      </c>
      <c r="M91" s="539">
        <v>2</v>
      </c>
      <c r="N91" s="327">
        <f t="shared" si="10"/>
        <v>74258.42</v>
      </c>
      <c r="O91" s="282"/>
      <c r="P91" s="282"/>
      <c r="Q91" s="339" t="s">
        <v>188</v>
      </c>
      <c r="R91" s="539">
        <v>3</v>
      </c>
      <c r="S91" s="327">
        <f t="shared" si="11"/>
        <v>111387.63</v>
      </c>
      <c r="T91" s="282"/>
      <c r="U91" s="282"/>
      <c r="V91" s="339" t="s">
        <v>188</v>
      </c>
      <c r="W91" s="539">
        <v>1</v>
      </c>
      <c r="X91" s="552">
        <f t="shared" si="12"/>
        <v>37129.21</v>
      </c>
    </row>
    <row r="92" spans="1:39" ht="14.25" customHeight="1" x14ac:dyDescent="0.25">
      <c r="A92" s="535" t="s">
        <v>189</v>
      </c>
      <c r="B92" s="560"/>
      <c r="C92" s="333"/>
      <c r="D92" s="329"/>
      <c r="E92" s="330"/>
      <c r="F92" s="331"/>
      <c r="G92" s="332"/>
      <c r="H92" s="540"/>
      <c r="I92" s="333"/>
      <c r="J92" s="334"/>
      <c r="K92" s="334"/>
      <c r="L92" s="534"/>
      <c r="M92" s="549"/>
      <c r="N92" s="333"/>
      <c r="O92" s="334"/>
      <c r="P92" s="334"/>
      <c r="Q92" s="534"/>
      <c r="R92" s="540"/>
      <c r="S92" s="333"/>
      <c r="T92" s="334"/>
      <c r="U92" s="334"/>
      <c r="V92" s="534"/>
      <c r="W92" s="540"/>
      <c r="X92" s="553"/>
    </row>
    <row r="93" spans="1:39" ht="14.25" customHeight="1" x14ac:dyDescent="0.25">
      <c r="A93" s="339" t="s">
        <v>190</v>
      </c>
      <c r="B93" s="559">
        <v>1</v>
      </c>
      <c r="C93" s="327">
        <f t="shared" si="14"/>
        <v>36469.56</v>
      </c>
      <c r="D93" s="327">
        <f>B93*C93</f>
        <v>36469.56</v>
      </c>
      <c r="E93" s="323">
        <v>46164</v>
      </c>
      <c r="G93" s="328" t="s">
        <v>190</v>
      </c>
      <c r="H93" s="539">
        <v>1</v>
      </c>
      <c r="I93" s="327">
        <f t="shared" si="7"/>
        <v>36469.56</v>
      </c>
      <c r="J93" s="282"/>
      <c r="K93" s="282"/>
      <c r="L93" s="339" t="s">
        <v>190</v>
      </c>
      <c r="M93" s="539">
        <v>1</v>
      </c>
      <c r="N93" s="327">
        <f t="shared" si="10"/>
        <v>36469.56</v>
      </c>
      <c r="O93" s="282"/>
      <c r="P93" s="282"/>
      <c r="Q93" s="339" t="s">
        <v>190</v>
      </c>
      <c r="R93" s="539">
        <v>1</v>
      </c>
      <c r="S93" s="327">
        <f t="shared" si="11"/>
        <v>36469.56</v>
      </c>
      <c r="T93" s="282"/>
      <c r="U93" s="282"/>
      <c r="V93" s="339" t="s">
        <v>191</v>
      </c>
      <c r="W93" s="539">
        <v>1</v>
      </c>
      <c r="X93" s="552">
        <f t="shared" si="12"/>
        <v>36469.56</v>
      </c>
    </row>
    <row r="94" spans="1:39" ht="14.25" customHeight="1" x14ac:dyDescent="0.25">
      <c r="A94" s="339" t="s">
        <v>191</v>
      </c>
      <c r="B94" s="559">
        <v>1</v>
      </c>
      <c r="C94" s="327">
        <f t="shared" si="14"/>
        <v>34955.3433</v>
      </c>
      <c r="D94" s="327">
        <f>B94*C94</f>
        <v>34955.3433</v>
      </c>
      <c r="E94" s="323">
        <v>44247.27</v>
      </c>
      <c r="G94" s="328" t="s">
        <v>191</v>
      </c>
      <c r="H94" s="539">
        <v>1</v>
      </c>
      <c r="I94" s="327">
        <f t="shared" si="7"/>
        <v>34955.3433</v>
      </c>
      <c r="J94" s="282"/>
      <c r="K94" s="282"/>
      <c r="L94" s="339" t="s">
        <v>191</v>
      </c>
      <c r="M94" s="539">
        <v>1</v>
      </c>
      <c r="N94" s="327">
        <f t="shared" si="10"/>
        <v>34955.3433</v>
      </c>
      <c r="O94" s="282"/>
      <c r="P94" s="282"/>
      <c r="Q94" s="339" t="s">
        <v>191</v>
      </c>
      <c r="R94" s="539">
        <v>1</v>
      </c>
      <c r="S94" s="327">
        <f t="shared" si="11"/>
        <v>34955.3433</v>
      </c>
      <c r="T94" s="282"/>
      <c r="U94" s="282"/>
      <c r="V94" s="339"/>
      <c r="W94" s="539"/>
      <c r="X94" s="552">
        <f t="shared" si="12"/>
        <v>0</v>
      </c>
    </row>
    <row r="95" spans="1:39" ht="14.25" customHeight="1" x14ac:dyDescent="0.25">
      <c r="A95" s="535" t="s">
        <v>192</v>
      </c>
      <c r="B95" s="560"/>
      <c r="C95" s="333"/>
      <c r="D95" s="329"/>
      <c r="E95" s="330"/>
      <c r="F95" s="331"/>
      <c r="G95" s="332"/>
      <c r="H95" s="540"/>
      <c r="I95" s="333"/>
      <c r="J95" s="334"/>
      <c r="K95" s="334"/>
      <c r="L95" s="534"/>
      <c r="M95" s="540"/>
      <c r="N95" s="333"/>
      <c r="O95" s="334"/>
      <c r="P95" s="334"/>
      <c r="Q95" s="534"/>
      <c r="R95" s="540"/>
      <c r="S95" s="333"/>
      <c r="T95" s="334"/>
      <c r="U95" s="334"/>
      <c r="V95" s="534"/>
      <c r="W95" s="540"/>
      <c r="X95" s="553"/>
    </row>
    <row r="96" spans="1:39" ht="14.25" customHeight="1" x14ac:dyDescent="0.25">
      <c r="A96" s="339" t="s">
        <v>195</v>
      </c>
      <c r="B96" s="559">
        <v>1</v>
      </c>
      <c r="C96" s="327">
        <f t="shared" si="14"/>
        <v>30730.21</v>
      </c>
      <c r="D96" s="327">
        <f t="shared" ref="D96:D101" si="22">B96*C96</f>
        <v>30730.21</v>
      </c>
      <c r="E96" s="323">
        <v>38899</v>
      </c>
      <c r="G96" s="328" t="s">
        <v>195</v>
      </c>
      <c r="H96" s="539">
        <v>1</v>
      </c>
      <c r="I96" s="327">
        <f t="shared" si="7"/>
        <v>30730.21</v>
      </c>
      <c r="J96" s="282"/>
      <c r="K96" s="282"/>
      <c r="L96" s="339" t="s">
        <v>195</v>
      </c>
      <c r="M96" s="539">
        <v>1</v>
      </c>
      <c r="N96" s="327">
        <f t="shared" si="10"/>
        <v>30730.21</v>
      </c>
      <c r="O96" s="282"/>
      <c r="P96" s="282"/>
      <c r="Q96" s="339" t="s">
        <v>195</v>
      </c>
      <c r="R96" s="539">
        <v>1</v>
      </c>
      <c r="S96" s="327">
        <f t="shared" si="11"/>
        <v>30730.21</v>
      </c>
      <c r="T96" s="282"/>
      <c r="U96" s="282"/>
      <c r="V96" s="339" t="s">
        <v>194</v>
      </c>
      <c r="W96" s="539"/>
      <c r="X96" s="552">
        <f t="shared" si="12"/>
        <v>0</v>
      </c>
    </row>
    <row r="97" spans="1:24" ht="14.25" customHeight="1" x14ac:dyDescent="0.25">
      <c r="A97" s="339" t="s">
        <v>197</v>
      </c>
      <c r="B97" s="559">
        <v>1</v>
      </c>
      <c r="C97" s="327">
        <f t="shared" si="14"/>
        <v>31521</v>
      </c>
      <c r="D97" s="327">
        <f t="shared" si="22"/>
        <v>31521</v>
      </c>
      <c r="E97" s="323">
        <v>39900</v>
      </c>
      <c r="G97" s="328" t="s">
        <v>197</v>
      </c>
      <c r="H97" s="539">
        <v>1</v>
      </c>
      <c r="I97" s="327">
        <f t="shared" si="7"/>
        <v>31521</v>
      </c>
      <c r="J97" s="282"/>
      <c r="K97" s="282"/>
      <c r="L97" s="339" t="s">
        <v>197</v>
      </c>
      <c r="M97" s="539">
        <v>1</v>
      </c>
      <c r="N97" s="327">
        <f t="shared" si="10"/>
        <v>31521</v>
      </c>
      <c r="O97" s="282"/>
      <c r="P97" s="282"/>
      <c r="Q97" s="339" t="s">
        <v>197</v>
      </c>
      <c r="R97" s="539">
        <v>1</v>
      </c>
      <c r="S97" s="327">
        <f t="shared" si="11"/>
        <v>31521</v>
      </c>
      <c r="T97" s="282"/>
      <c r="U97" s="282"/>
      <c r="V97" s="339" t="s">
        <v>196</v>
      </c>
      <c r="W97" s="539"/>
      <c r="X97" s="552">
        <f t="shared" si="12"/>
        <v>0</v>
      </c>
    </row>
    <row r="98" spans="1:24" ht="14.25" customHeight="1" x14ac:dyDescent="0.25">
      <c r="A98" s="339" t="s">
        <v>200</v>
      </c>
      <c r="B98" s="559">
        <v>1</v>
      </c>
      <c r="C98" s="327">
        <f t="shared" si="14"/>
        <v>21803.21</v>
      </c>
      <c r="D98" s="327">
        <f t="shared" si="22"/>
        <v>21803.21</v>
      </c>
      <c r="E98" s="323">
        <v>27599</v>
      </c>
      <c r="G98" s="328" t="s">
        <v>200</v>
      </c>
      <c r="H98" s="539">
        <v>1</v>
      </c>
      <c r="I98" s="327">
        <f t="shared" si="7"/>
        <v>21803.21</v>
      </c>
      <c r="J98" s="282"/>
      <c r="K98" s="282"/>
      <c r="L98" s="339" t="s">
        <v>200</v>
      </c>
      <c r="M98" s="539">
        <v>1</v>
      </c>
      <c r="N98" s="327">
        <f t="shared" si="10"/>
        <v>21803.21</v>
      </c>
      <c r="O98" s="282"/>
      <c r="P98" s="282"/>
      <c r="Q98" s="339" t="s">
        <v>200</v>
      </c>
      <c r="R98" s="539">
        <v>1</v>
      </c>
      <c r="S98" s="327">
        <f t="shared" si="11"/>
        <v>21803.21</v>
      </c>
      <c r="T98" s="282"/>
      <c r="U98" s="282"/>
      <c r="V98" s="339" t="s">
        <v>199</v>
      </c>
      <c r="W98" s="539"/>
      <c r="X98" s="552">
        <f t="shared" si="12"/>
        <v>0</v>
      </c>
    </row>
    <row r="99" spans="1:24" ht="14.25" customHeight="1" x14ac:dyDescent="0.25">
      <c r="A99" s="339" t="s">
        <v>203</v>
      </c>
      <c r="B99" s="559">
        <v>1</v>
      </c>
      <c r="C99" s="327">
        <f t="shared" si="14"/>
        <v>16589.21</v>
      </c>
      <c r="D99" s="327">
        <f t="shared" si="22"/>
        <v>16589.21</v>
      </c>
      <c r="E99" s="323">
        <v>20999</v>
      </c>
      <c r="G99" s="328" t="s">
        <v>203</v>
      </c>
      <c r="H99" s="539">
        <v>1</v>
      </c>
      <c r="I99" s="327">
        <f t="shared" si="7"/>
        <v>16589.21</v>
      </c>
      <c r="J99" s="282"/>
      <c r="K99" s="282"/>
      <c r="L99" s="339" t="s">
        <v>203</v>
      </c>
      <c r="M99" s="539">
        <v>1</v>
      </c>
      <c r="N99" s="327">
        <f t="shared" si="10"/>
        <v>16589.21</v>
      </c>
      <c r="O99" s="282"/>
      <c r="P99" s="282"/>
      <c r="Q99" s="339" t="s">
        <v>203</v>
      </c>
      <c r="R99" s="539">
        <v>1</v>
      </c>
      <c r="S99" s="327">
        <f t="shared" si="11"/>
        <v>16589.21</v>
      </c>
      <c r="T99" s="282"/>
      <c r="U99" s="282"/>
      <c r="V99" s="339" t="s">
        <v>201</v>
      </c>
      <c r="W99" s="539"/>
      <c r="X99" s="552">
        <f t="shared" si="12"/>
        <v>0</v>
      </c>
    </row>
    <row r="100" spans="1:24" ht="14.25" customHeight="1" x14ac:dyDescent="0.25">
      <c r="A100" s="339" t="s">
        <v>205</v>
      </c>
      <c r="B100" s="559">
        <v>1</v>
      </c>
      <c r="C100" s="327">
        <f t="shared" si="14"/>
        <v>12478.84</v>
      </c>
      <c r="D100" s="327">
        <f t="shared" si="22"/>
        <v>12478.84</v>
      </c>
      <c r="E100" s="323">
        <v>15796</v>
      </c>
      <c r="G100" s="328" t="s">
        <v>205</v>
      </c>
      <c r="H100" s="539">
        <v>1</v>
      </c>
      <c r="I100" s="327">
        <f t="shared" si="7"/>
        <v>12478.84</v>
      </c>
      <c r="J100" s="282"/>
      <c r="K100" s="282"/>
      <c r="L100" s="339" t="s">
        <v>205</v>
      </c>
      <c r="M100" s="539">
        <v>1</v>
      </c>
      <c r="N100" s="327">
        <f t="shared" si="10"/>
        <v>12478.84</v>
      </c>
      <c r="O100" s="282"/>
      <c r="P100" s="282"/>
      <c r="Q100" s="339" t="s">
        <v>205</v>
      </c>
      <c r="R100" s="539">
        <v>1</v>
      </c>
      <c r="S100" s="327">
        <f t="shared" si="11"/>
        <v>12478.84</v>
      </c>
      <c r="T100" s="282"/>
      <c r="U100" s="282"/>
      <c r="V100" s="339" t="s">
        <v>204</v>
      </c>
      <c r="W100" s="539"/>
      <c r="X100" s="552">
        <f t="shared" si="12"/>
        <v>0</v>
      </c>
    </row>
    <row r="101" spans="1:24" ht="14.25" customHeight="1" x14ac:dyDescent="0.25">
      <c r="A101" s="339" t="s">
        <v>209</v>
      </c>
      <c r="B101" s="559">
        <v>1</v>
      </c>
      <c r="C101" s="327">
        <f t="shared" si="14"/>
        <v>24647.21</v>
      </c>
      <c r="D101" s="327">
        <f t="shared" si="22"/>
        <v>24647.21</v>
      </c>
      <c r="E101" s="323">
        <v>31199</v>
      </c>
      <c r="G101" s="328" t="s">
        <v>209</v>
      </c>
      <c r="H101" s="539">
        <v>1</v>
      </c>
      <c r="I101" s="327">
        <f t="shared" si="7"/>
        <v>24647.21</v>
      </c>
      <c r="J101" s="282"/>
      <c r="K101" s="282"/>
      <c r="L101" s="339" t="s">
        <v>209</v>
      </c>
      <c r="M101" s="539">
        <v>1</v>
      </c>
      <c r="N101" s="327">
        <f t="shared" si="10"/>
        <v>24647.21</v>
      </c>
      <c r="O101" s="282"/>
      <c r="P101" s="282"/>
      <c r="Q101" s="339" t="s">
        <v>209</v>
      </c>
      <c r="R101" s="539">
        <v>1</v>
      </c>
      <c r="S101" s="327">
        <f t="shared" si="11"/>
        <v>24647.21</v>
      </c>
      <c r="T101" s="282"/>
      <c r="U101" s="282"/>
      <c r="V101" s="339" t="s">
        <v>207</v>
      </c>
      <c r="W101" s="539"/>
      <c r="X101" s="552">
        <f t="shared" si="12"/>
        <v>0</v>
      </c>
    </row>
    <row r="102" spans="1:24" ht="14.25" customHeight="1" x14ac:dyDescent="0.25">
      <c r="A102" s="343"/>
      <c r="C102" s="577" t="s">
        <v>67</v>
      </c>
      <c r="D102" s="577">
        <f>SUM(D3:D101)</f>
        <v>1227919.4774947502</v>
      </c>
      <c r="E102" s="578"/>
      <c r="F102" s="579"/>
      <c r="G102" s="579"/>
      <c r="H102" s="580"/>
      <c r="I102" s="577">
        <f>SUM(I3:I101)</f>
        <v>1185284.5310010391</v>
      </c>
      <c r="J102" s="575"/>
      <c r="K102" s="575"/>
      <c r="L102" s="581"/>
      <c r="M102" s="580"/>
      <c r="N102" s="577">
        <f>SUM(N3:N101)</f>
        <v>1368907.0891963909</v>
      </c>
      <c r="O102" s="575"/>
      <c r="P102" s="575"/>
      <c r="Q102" s="581"/>
      <c r="R102" s="580"/>
      <c r="S102" s="577">
        <f>SUM(S3:S101)</f>
        <v>1435169.3122927947</v>
      </c>
      <c r="T102" s="575"/>
      <c r="U102" s="575"/>
      <c r="V102" s="581"/>
      <c r="W102" s="580"/>
      <c r="X102" s="582">
        <f>SUM(X3:X101)</f>
        <v>655494.29772158898</v>
      </c>
    </row>
    <row r="103" spans="1:24" ht="14.25" customHeight="1" x14ac:dyDescent="0.25"/>
    <row r="104" spans="1:24" ht="14.25" hidden="1" customHeight="1" x14ac:dyDescent="0.25">
      <c r="A104" s="530" t="s">
        <v>213</v>
      </c>
      <c r="B104" s="564" t="s">
        <v>20</v>
      </c>
      <c r="C104" s="344" t="s">
        <v>21</v>
      </c>
      <c r="D104" s="344" t="s">
        <v>21</v>
      </c>
      <c r="G104" s="530" t="s">
        <v>214</v>
      </c>
      <c r="H104" s="543" t="s">
        <v>20</v>
      </c>
      <c r="I104" s="344" t="s">
        <v>21</v>
      </c>
      <c r="L104" s="530" t="s">
        <v>215</v>
      </c>
      <c r="M104" s="543" t="s">
        <v>20</v>
      </c>
      <c r="N104" s="344" t="s">
        <v>21</v>
      </c>
      <c r="Q104" s="530" t="s">
        <v>216</v>
      </c>
      <c r="R104" s="543" t="s">
        <v>20</v>
      </c>
      <c r="S104" s="344" t="s">
        <v>21</v>
      </c>
    </row>
    <row r="105" spans="1:24" ht="14.25" hidden="1" customHeight="1" x14ac:dyDescent="0.25">
      <c r="A105" s="531" t="s">
        <v>219</v>
      </c>
      <c r="B105" s="565">
        <v>16.579999999999998</v>
      </c>
      <c r="C105" s="345" t="s">
        <v>6</v>
      </c>
      <c r="D105" s="345" t="s">
        <v>6</v>
      </c>
      <c r="G105" s="531" t="s">
        <v>219</v>
      </c>
      <c r="H105" s="544">
        <v>25.3</v>
      </c>
      <c r="I105" s="345" t="s">
        <v>6</v>
      </c>
      <c r="L105" s="531" t="s">
        <v>219</v>
      </c>
      <c r="M105" s="544">
        <v>27.87</v>
      </c>
      <c r="N105" s="345" t="s">
        <v>6</v>
      </c>
      <c r="Q105" s="531" t="s">
        <v>219</v>
      </c>
      <c r="R105" s="550">
        <v>23.09</v>
      </c>
      <c r="S105" s="345" t="s">
        <v>6</v>
      </c>
      <c r="V105" s="530" t="s">
        <v>218</v>
      </c>
      <c r="W105" s="543" t="s">
        <v>20</v>
      </c>
      <c r="X105" s="555" t="s">
        <v>21</v>
      </c>
    </row>
    <row r="106" spans="1:24" ht="14.25" hidden="1" customHeight="1" x14ac:dyDescent="0.25">
      <c r="A106" s="328" t="s">
        <v>332</v>
      </c>
      <c r="B106" s="566">
        <f t="shared" ref="B106:B112" si="23">B162*$B$105</f>
        <v>16.579999999999998</v>
      </c>
      <c r="C106" s="346" t="s">
        <v>40</v>
      </c>
      <c r="D106" s="346" t="s">
        <v>40</v>
      </c>
      <c r="G106" s="328" t="s">
        <v>332</v>
      </c>
      <c r="H106" s="545">
        <f t="shared" ref="H106:H112" si="24">B162*$H$105</f>
        <v>25.3</v>
      </c>
      <c r="I106" s="346" t="s">
        <v>40</v>
      </c>
      <c r="L106" s="328" t="s">
        <v>332</v>
      </c>
      <c r="M106" s="545">
        <f t="shared" ref="M106:M112" si="25">B162*$M$105</f>
        <v>27.87</v>
      </c>
      <c r="N106" s="346" t="s">
        <v>40</v>
      </c>
      <c r="Q106" s="328" t="s">
        <v>332</v>
      </c>
      <c r="R106" s="545">
        <f t="shared" ref="R106:R112" si="26">B162*$R$105</f>
        <v>23.09</v>
      </c>
      <c r="S106" s="346" t="s">
        <v>40</v>
      </c>
      <c r="V106" s="531" t="s">
        <v>219</v>
      </c>
      <c r="W106" s="544">
        <v>5.34</v>
      </c>
      <c r="X106" s="556" t="s">
        <v>6</v>
      </c>
    </row>
    <row r="107" spans="1:24" ht="14.25" hidden="1" customHeight="1" x14ac:dyDescent="0.25">
      <c r="A107" s="328" t="s">
        <v>333</v>
      </c>
      <c r="B107" s="566">
        <f t="shared" si="23"/>
        <v>41.449999999999996</v>
      </c>
      <c r="C107" s="346" t="s">
        <v>40</v>
      </c>
      <c r="D107" s="346" t="s">
        <v>40</v>
      </c>
      <c r="G107" s="328" t="s">
        <v>225</v>
      </c>
      <c r="H107" s="545">
        <f t="shared" si="24"/>
        <v>63.25</v>
      </c>
      <c r="I107" s="346" t="s">
        <v>40</v>
      </c>
      <c r="L107" s="328" t="s">
        <v>225</v>
      </c>
      <c r="M107" s="547">
        <f t="shared" si="25"/>
        <v>69.674999999999997</v>
      </c>
      <c r="N107" s="346" t="s">
        <v>40</v>
      </c>
      <c r="Q107" s="328" t="s">
        <v>225</v>
      </c>
      <c r="R107" s="545">
        <f t="shared" si="26"/>
        <v>57.725000000000001</v>
      </c>
      <c r="S107" s="346" t="s">
        <v>40</v>
      </c>
      <c r="V107" s="328" t="s">
        <v>332</v>
      </c>
      <c r="W107" s="545">
        <f t="shared" ref="W107:W113" si="27">B162*$W$106</f>
        <v>5.34</v>
      </c>
      <c r="X107" s="557" t="s">
        <v>40</v>
      </c>
    </row>
    <row r="108" spans="1:24" ht="14.25" hidden="1" customHeight="1" x14ac:dyDescent="0.25">
      <c r="A108" s="328" t="s">
        <v>44</v>
      </c>
      <c r="B108" s="567">
        <f t="shared" si="23"/>
        <v>132.63999999999999</v>
      </c>
      <c r="C108" s="346" t="s">
        <v>25</v>
      </c>
      <c r="D108" s="346" t="s">
        <v>25</v>
      </c>
      <c r="G108" s="328" t="s">
        <v>44</v>
      </c>
      <c r="H108" s="546">
        <f t="shared" si="24"/>
        <v>202.4</v>
      </c>
      <c r="I108" s="346" t="s">
        <v>25</v>
      </c>
      <c r="L108" s="328" t="s">
        <v>44</v>
      </c>
      <c r="M108" s="545">
        <f t="shared" si="25"/>
        <v>222.96</v>
      </c>
      <c r="N108" s="346" t="s">
        <v>25</v>
      </c>
      <c r="Q108" s="328" t="s">
        <v>44</v>
      </c>
      <c r="R108" s="545">
        <f t="shared" si="26"/>
        <v>184.72</v>
      </c>
      <c r="S108" s="346" t="s">
        <v>25</v>
      </c>
      <c r="V108" s="328" t="s">
        <v>225</v>
      </c>
      <c r="W108" s="545">
        <f t="shared" si="27"/>
        <v>13.35</v>
      </c>
      <c r="X108" s="557" t="s">
        <v>40</v>
      </c>
    </row>
    <row r="109" spans="1:24" ht="14.25" hidden="1" customHeight="1" x14ac:dyDescent="0.25">
      <c r="A109" s="328" t="s">
        <v>45</v>
      </c>
      <c r="B109" s="567">
        <f t="shared" si="23"/>
        <v>431.07999999999993</v>
      </c>
      <c r="C109" s="346" t="s">
        <v>25</v>
      </c>
      <c r="D109" s="346" t="s">
        <v>25</v>
      </c>
      <c r="G109" s="328" t="s">
        <v>45</v>
      </c>
      <c r="H109" s="546">
        <f t="shared" si="24"/>
        <v>657.80000000000007</v>
      </c>
      <c r="I109" s="346" t="s">
        <v>25</v>
      </c>
      <c r="L109" s="328" t="s">
        <v>45</v>
      </c>
      <c r="M109" s="545">
        <f t="shared" si="25"/>
        <v>724.62</v>
      </c>
      <c r="N109" s="346" t="s">
        <v>25</v>
      </c>
      <c r="Q109" s="328" t="s">
        <v>45</v>
      </c>
      <c r="R109" s="545">
        <f t="shared" si="26"/>
        <v>600.34</v>
      </c>
      <c r="S109" s="346" t="s">
        <v>25</v>
      </c>
      <c r="V109" s="328" t="s">
        <v>44</v>
      </c>
      <c r="W109" s="545">
        <f t="shared" si="27"/>
        <v>42.72</v>
      </c>
      <c r="X109" s="557" t="s">
        <v>25</v>
      </c>
    </row>
    <row r="110" spans="1:24" ht="14.25" hidden="1" customHeight="1" x14ac:dyDescent="0.25">
      <c r="A110" s="328" t="s">
        <v>233</v>
      </c>
      <c r="B110" s="568">
        <f t="shared" si="23"/>
        <v>54.713999999999992</v>
      </c>
      <c r="C110" s="346" t="s">
        <v>40</v>
      </c>
      <c r="D110" s="346" t="s">
        <v>40</v>
      </c>
      <c r="G110" s="328" t="s">
        <v>233</v>
      </c>
      <c r="H110" s="545">
        <f t="shared" si="24"/>
        <v>83.49</v>
      </c>
      <c r="I110" s="346" t="s">
        <v>40</v>
      </c>
      <c r="L110" s="328" t="s">
        <v>233</v>
      </c>
      <c r="M110" s="545">
        <f t="shared" si="25"/>
        <v>91.971000000000004</v>
      </c>
      <c r="N110" s="346" t="s">
        <v>40</v>
      </c>
      <c r="Q110" s="328" t="s">
        <v>233</v>
      </c>
      <c r="R110" s="545">
        <f t="shared" si="26"/>
        <v>76.196999999999989</v>
      </c>
      <c r="S110" s="346" t="s">
        <v>40</v>
      </c>
      <c r="V110" s="328" t="s">
        <v>45</v>
      </c>
      <c r="W110" s="545">
        <f t="shared" si="27"/>
        <v>138.84</v>
      </c>
      <c r="X110" s="557" t="s">
        <v>25</v>
      </c>
    </row>
    <row r="111" spans="1:24" ht="14.25" hidden="1" customHeight="1" x14ac:dyDescent="0.25">
      <c r="A111" s="328" t="s">
        <v>43</v>
      </c>
      <c r="B111" s="568">
        <f t="shared" si="23"/>
        <v>1.8237999999999999</v>
      </c>
      <c r="C111" s="346" t="s">
        <v>34</v>
      </c>
      <c r="D111" s="346" t="s">
        <v>34</v>
      </c>
      <c r="G111" s="328" t="s">
        <v>43</v>
      </c>
      <c r="H111" s="545">
        <f t="shared" si="24"/>
        <v>2.7829999999999999</v>
      </c>
      <c r="I111" s="346" t="s">
        <v>34</v>
      </c>
      <c r="L111" s="328" t="s">
        <v>43</v>
      </c>
      <c r="M111" s="547">
        <f t="shared" si="25"/>
        <v>3.0657000000000001</v>
      </c>
      <c r="N111" s="346" t="s">
        <v>34</v>
      </c>
      <c r="Q111" s="328" t="s">
        <v>43</v>
      </c>
      <c r="R111" s="545">
        <f t="shared" si="26"/>
        <v>2.5398999999999998</v>
      </c>
      <c r="S111" s="346" t="s">
        <v>34</v>
      </c>
      <c r="V111" s="328" t="s">
        <v>233</v>
      </c>
      <c r="W111" s="547">
        <f t="shared" si="27"/>
        <v>17.622</v>
      </c>
      <c r="X111" s="557" t="s">
        <v>40</v>
      </c>
    </row>
    <row r="112" spans="1:24" ht="14.25" hidden="1" customHeight="1" x14ac:dyDescent="0.25">
      <c r="A112" s="328" t="s">
        <v>236</v>
      </c>
      <c r="B112" s="568">
        <f t="shared" si="23"/>
        <v>33.98899999999999</v>
      </c>
      <c r="C112" s="346" t="s">
        <v>6</v>
      </c>
      <c r="D112" s="346" t="s">
        <v>6</v>
      </c>
      <c r="G112" s="328" t="s">
        <v>236</v>
      </c>
      <c r="H112" s="547">
        <f t="shared" si="24"/>
        <v>51.864999999999995</v>
      </c>
      <c r="I112" s="346" t="s">
        <v>6</v>
      </c>
      <c r="L112" s="328" t="s">
        <v>236</v>
      </c>
      <c r="M112" s="547">
        <f t="shared" si="25"/>
        <v>57.133499999999998</v>
      </c>
      <c r="N112" s="346" t="s">
        <v>6</v>
      </c>
      <c r="Q112" s="328" t="s">
        <v>236</v>
      </c>
      <c r="R112" s="545">
        <f t="shared" si="26"/>
        <v>47.334499999999998</v>
      </c>
      <c r="S112" s="346" t="s">
        <v>6</v>
      </c>
      <c r="V112" s="328" t="s">
        <v>43</v>
      </c>
      <c r="W112" s="547">
        <f t="shared" si="27"/>
        <v>0.58740000000000003</v>
      </c>
      <c r="X112" s="557" t="s">
        <v>34</v>
      </c>
    </row>
    <row r="113" spans="1:24" ht="14.25" hidden="1" customHeight="1" x14ac:dyDescent="0.25">
      <c r="A113" s="531" t="s">
        <v>239</v>
      </c>
      <c r="B113" s="565">
        <v>99.1</v>
      </c>
      <c r="C113" s="345" t="s">
        <v>6</v>
      </c>
      <c r="D113" s="345" t="s">
        <v>6</v>
      </c>
      <c r="G113" s="531" t="s">
        <v>239</v>
      </c>
      <c r="H113" s="544">
        <v>83.81</v>
      </c>
      <c r="I113" s="345" t="s">
        <v>6</v>
      </c>
      <c r="L113" s="531" t="s">
        <v>239</v>
      </c>
      <c r="M113" s="544">
        <v>111.65</v>
      </c>
      <c r="N113" s="345" t="s">
        <v>6</v>
      </c>
      <c r="Q113" s="531" t="s">
        <v>239</v>
      </c>
      <c r="R113" s="544">
        <v>134.01</v>
      </c>
      <c r="S113" s="345" t="s">
        <v>6</v>
      </c>
      <c r="V113" s="328" t="s">
        <v>236</v>
      </c>
      <c r="W113" s="547">
        <f t="shared" si="27"/>
        <v>10.946999999999999</v>
      </c>
      <c r="X113" s="557" t="s">
        <v>6</v>
      </c>
    </row>
    <row r="114" spans="1:24" ht="14.25" hidden="1" customHeight="1" x14ac:dyDescent="0.25">
      <c r="A114" s="328" t="s">
        <v>332</v>
      </c>
      <c r="B114" s="566">
        <f t="shared" ref="B114:B120" si="28">B170*$B$113</f>
        <v>99.1</v>
      </c>
      <c r="C114" s="346" t="s">
        <v>40</v>
      </c>
      <c r="D114" s="346" t="s">
        <v>40</v>
      </c>
      <c r="G114" s="328" t="s">
        <v>332</v>
      </c>
      <c r="H114" s="545">
        <f t="shared" ref="H114:H120" si="29">B170*$H$113</f>
        <v>83.81</v>
      </c>
      <c r="I114" s="346" t="s">
        <v>40</v>
      </c>
      <c r="L114" s="328" t="s">
        <v>332</v>
      </c>
      <c r="M114" s="545">
        <f t="shared" ref="M114:M120" si="30">B170*$M$113</f>
        <v>111.65</v>
      </c>
      <c r="N114" s="346" t="s">
        <v>40</v>
      </c>
      <c r="Q114" s="328" t="s">
        <v>332</v>
      </c>
      <c r="R114" s="545">
        <f t="shared" ref="R114:R120" si="31">B170*$R$113</f>
        <v>134.01</v>
      </c>
      <c r="S114" s="346" t="s">
        <v>40</v>
      </c>
      <c r="V114" s="531" t="s">
        <v>239</v>
      </c>
      <c r="W114" s="544">
        <v>70.69</v>
      </c>
      <c r="X114" s="556" t="s">
        <v>6</v>
      </c>
    </row>
    <row r="115" spans="1:24" ht="14.25" hidden="1" customHeight="1" x14ac:dyDescent="0.25">
      <c r="A115" s="328" t="s">
        <v>333</v>
      </c>
      <c r="B115" s="566">
        <f t="shared" si="28"/>
        <v>247.75</v>
      </c>
      <c r="C115" s="346" t="s">
        <v>40</v>
      </c>
      <c r="D115" s="346" t="s">
        <v>40</v>
      </c>
      <c r="G115" s="328" t="s">
        <v>333</v>
      </c>
      <c r="H115" s="547">
        <f t="shared" si="29"/>
        <v>209.52500000000001</v>
      </c>
      <c r="I115" s="346" t="s">
        <v>40</v>
      </c>
      <c r="L115" s="328" t="s">
        <v>333</v>
      </c>
      <c r="M115" s="547">
        <f t="shared" si="30"/>
        <v>279.125</v>
      </c>
      <c r="N115" s="346" t="s">
        <v>40</v>
      </c>
      <c r="Q115" s="328" t="s">
        <v>333</v>
      </c>
      <c r="R115" s="545">
        <f t="shared" si="31"/>
        <v>335.02499999999998</v>
      </c>
      <c r="S115" s="346" t="s">
        <v>40</v>
      </c>
      <c r="V115" s="328" t="s">
        <v>332</v>
      </c>
      <c r="W115" s="545">
        <f t="shared" ref="W115:W121" si="32">B170*$W$114</f>
        <v>70.69</v>
      </c>
      <c r="X115" s="557" t="s">
        <v>40</v>
      </c>
    </row>
    <row r="116" spans="1:24" ht="14.25" hidden="1" customHeight="1" x14ac:dyDescent="0.25">
      <c r="A116" s="328" t="s">
        <v>44</v>
      </c>
      <c r="B116" s="567">
        <f t="shared" si="28"/>
        <v>792.8</v>
      </c>
      <c r="C116" s="346" t="s">
        <v>25</v>
      </c>
      <c r="D116" s="346" t="s">
        <v>25</v>
      </c>
      <c r="G116" s="328" t="s">
        <v>44</v>
      </c>
      <c r="H116" s="546">
        <f t="shared" si="29"/>
        <v>670.48</v>
      </c>
      <c r="I116" s="346" t="s">
        <v>25</v>
      </c>
      <c r="L116" s="328" t="s">
        <v>44</v>
      </c>
      <c r="M116" s="545">
        <f t="shared" si="30"/>
        <v>893.2</v>
      </c>
      <c r="N116" s="346" t="s">
        <v>25</v>
      </c>
      <c r="Q116" s="328" t="s">
        <v>44</v>
      </c>
      <c r="R116" s="545">
        <f t="shared" si="31"/>
        <v>1072.08</v>
      </c>
      <c r="S116" s="346" t="s">
        <v>25</v>
      </c>
      <c r="V116" s="328" t="s">
        <v>333</v>
      </c>
      <c r="W116" s="547">
        <f t="shared" si="32"/>
        <v>176.72499999999999</v>
      </c>
      <c r="X116" s="557" t="s">
        <v>40</v>
      </c>
    </row>
    <row r="117" spans="1:24" ht="14.25" hidden="1" customHeight="1" x14ac:dyDescent="0.25">
      <c r="A117" s="328" t="s">
        <v>45</v>
      </c>
      <c r="B117" s="567">
        <f t="shared" si="28"/>
        <v>1288.3</v>
      </c>
      <c r="C117" s="346" t="s">
        <v>25</v>
      </c>
      <c r="D117" s="346" t="s">
        <v>25</v>
      </c>
      <c r="G117" s="328" t="s">
        <v>45</v>
      </c>
      <c r="H117" s="546">
        <f t="shared" si="29"/>
        <v>1089.53</v>
      </c>
      <c r="I117" s="346" t="s">
        <v>25</v>
      </c>
      <c r="L117" s="328" t="s">
        <v>45</v>
      </c>
      <c r="M117" s="545">
        <f t="shared" si="30"/>
        <v>1451.45</v>
      </c>
      <c r="N117" s="346" t="s">
        <v>25</v>
      </c>
      <c r="Q117" s="328" t="s">
        <v>45</v>
      </c>
      <c r="R117" s="545">
        <f t="shared" si="31"/>
        <v>1742.1299999999999</v>
      </c>
      <c r="S117" s="346" t="s">
        <v>25</v>
      </c>
      <c r="V117" s="328" t="s">
        <v>44</v>
      </c>
      <c r="W117" s="545">
        <f t="shared" si="32"/>
        <v>565.52</v>
      </c>
      <c r="X117" s="557" t="s">
        <v>25</v>
      </c>
    </row>
    <row r="118" spans="1:24" ht="14.25" hidden="1" customHeight="1" x14ac:dyDescent="0.25">
      <c r="A118" s="328" t="s">
        <v>233</v>
      </c>
      <c r="B118" s="568">
        <f t="shared" si="28"/>
        <v>163.51499999999999</v>
      </c>
      <c r="C118" s="346" t="s">
        <v>40</v>
      </c>
      <c r="D118" s="346" t="s">
        <v>40</v>
      </c>
      <c r="G118" s="328" t="s">
        <v>233</v>
      </c>
      <c r="H118" s="547">
        <f t="shared" si="29"/>
        <v>138.28649999999999</v>
      </c>
      <c r="I118" s="346" t="s">
        <v>40</v>
      </c>
      <c r="L118" s="328" t="s">
        <v>233</v>
      </c>
      <c r="M118" s="547">
        <f t="shared" si="30"/>
        <v>184.2225</v>
      </c>
      <c r="N118" s="346" t="s">
        <v>40</v>
      </c>
      <c r="Q118" s="328" t="s">
        <v>233</v>
      </c>
      <c r="R118" s="545">
        <f t="shared" si="31"/>
        <v>221.11649999999997</v>
      </c>
      <c r="S118" s="346" t="s">
        <v>40</v>
      </c>
      <c r="V118" s="328" t="s">
        <v>45</v>
      </c>
      <c r="W118" s="545">
        <f t="shared" si="32"/>
        <v>918.97</v>
      </c>
      <c r="X118" s="557" t="s">
        <v>25</v>
      </c>
    </row>
    <row r="119" spans="1:24" ht="14.25" hidden="1" customHeight="1" x14ac:dyDescent="0.25">
      <c r="A119" s="328" t="s">
        <v>43</v>
      </c>
      <c r="B119" s="566">
        <f t="shared" si="28"/>
        <v>4.9550000000000001</v>
      </c>
      <c r="C119" s="346" t="s">
        <v>34</v>
      </c>
      <c r="D119" s="346" t="s">
        <v>34</v>
      </c>
      <c r="G119" s="328" t="s">
        <v>43</v>
      </c>
      <c r="H119" s="545">
        <f t="shared" si="29"/>
        <v>4.1905000000000001</v>
      </c>
      <c r="I119" s="346" t="s">
        <v>34</v>
      </c>
      <c r="L119" s="328" t="s">
        <v>43</v>
      </c>
      <c r="M119" s="547">
        <f t="shared" si="30"/>
        <v>5.5825000000000005</v>
      </c>
      <c r="N119" s="346" t="s">
        <v>34</v>
      </c>
      <c r="Q119" s="328" t="s">
        <v>43</v>
      </c>
      <c r="R119" s="545">
        <f t="shared" si="31"/>
        <v>6.7004999999999999</v>
      </c>
      <c r="S119" s="346" t="s">
        <v>34</v>
      </c>
      <c r="V119" s="328" t="s">
        <v>233</v>
      </c>
      <c r="W119" s="547">
        <f t="shared" si="32"/>
        <v>116.63849999999999</v>
      </c>
      <c r="X119" s="557" t="s">
        <v>40</v>
      </c>
    </row>
    <row r="120" spans="1:24" ht="14.25" hidden="1" customHeight="1" x14ac:dyDescent="0.25">
      <c r="A120" s="328" t="s">
        <v>236</v>
      </c>
      <c r="B120" s="568">
        <f t="shared" si="28"/>
        <v>104.05499999999999</v>
      </c>
      <c r="C120" s="346" t="s">
        <v>6</v>
      </c>
      <c r="D120" s="346" t="s">
        <v>6</v>
      </c>
      <c r="G120" s="328" t="s">
        <v>236</v>
      </c>
      <c r="H120" s="547">
        <f t="shared" si="29"/>
        <v>88.000500000000002</v>
      </c>
      <c r="I120" s="346" t="s">
        <v>6</v>
      </c>
      <c r="L120" s="328" t="s">
        <v>236</v>
      </c>
      <c r="M120" s="547">
        <f t="shared" si="30"/>
        <v>117.23250000000002</v>
      </c>
      <c r="N120" s="346" t="s">
        <v>6</v>
      </c>
      <c r="Q120" s="328" t="s">
        <v>236</v>
      </c>
      <c r="R120" s="545">
        <f t="shared" si="31"/>
        <v>140.7105</v>
      </c>
      <c r="S120" s="346" t="s">
        <v>6</v>
      </c>
      <c r="V120" s="328" t="s">
        <v>43</v>
      </c>
      <c r="W120" s="547">
        <f t="shared" si="32"/>
        <v>3.5345</v>
      </c>
      <c r="X120" s="557" t="s">
        <v>34</v>
      </c>
    </row>
    <row r="121" spans="1:24" ht="14.25" hidden="1" customHeight="1" x14ac:dyDescent="0.25">
      <c r="A121" s="531" t="s">
        <v>248</v>
      </c>
      <c r="B121" s="565">
        <v>45</v>
      </c>
      <c r="C121" s="345" t="s">
        <v>6</v>
      </c>
      <c r="D121" s="345" t="s">
        <v>6</v>
      </c>
      <c r="G121" s="531" t="s">
        <v>248</v>
      </c>
      <c r="H121" s="544">
        <v>45</v>
      </c>
      <c r="I121" s="345" t="s">
        <v>6</v>
      </c>
      <c r="L121" s="531" t="s">
        <v>248</v>
      </c>
      <c r="M121" s="544">
        <v>60</v>
      </c>
      <c r="N121" s="345" t="s">
        <v>6</v>
      </c>
      <c r="Q121" s="531" t="s">
        <v>248</v>
      </c>
      <c r="R121" s="544">
        <v>60</v>
      </c>
      <c r="S121" s="345" t="s">
        <v>6</v>
      </c>
      <c r="V121" s="328" t="s">
        <v>236</v>
      </c>
      <c r="W121" s="547">
        <f t="shared" si="32"/>
        <v>74.224500000000006</v>
      </c>
      <c r="X121" s="557" t="s">
        <v>6</v>
      </c>
    </row>
    <row r="122" spans="1:24" ht="14.25" hidden="1" customHeight="1" x14ac:dyDescent="0.25">
      <c r="A122" s="328" t="s">
        <v>45</v>
      </c>
      <c r="B122" s="566">
        <f>B178*$B$121</f>
        <v>225</v>
      </c>
      <c r="C122" s="346" t="s">
        <v>25</v>
      </c>
      <c r="D122" s="346" t="s">
        <v>25</v>
      </c>
      <c r="G122" s="328" t="s">
        <v>45</v>
      </c>
      <c r="H122" s="545">
        <f>B178*$H$121</f>
        <v>225</v>
      </c>
      <c r="I122" s="346" t="s">
        <v>25</v>
      </c>
      <c r="L122" s="328" t="s">
        <v>45</v>
      </c>
      <c r="M122" s="545">
        <f>B178*$M$121</f>
        <v>300</v>
      </c>
      <c r="N122" s="346" t="s">
        <v>25</v>
      </c>
      <c r="Q122" s="328" t="s">
        <v>45</v>
      </c>
      <c r="R122" s="545">
        <f>B178*$R$121</f>
        <v>300</v>
      </c>
      <c r="S122" s="346" t="s">
        <v>25</v>
      </c>
      <c r="V122" s="531" t="s">
        <v>248</v>
      </c>
      <c r="W122" s="544">
        <v>30</v>
      </c>
      <c r="X122" s="556" t="s">
        <v>6</v>
      </c>
    </row>
    <row r="123" spans="1:24" ht="14.25" hidden="1" customHeight="1" x14ac:dyDescent="0.25">
      <c r="A123" s="328" t="s">
        <v>331</v>
      </c>
      <c r="B123" s="566">
        <v>54.77</v>
      </c>
      <c r="C123" s="346" t="s">
        <v>40</v>
      </c>
      <c r="D123" s="346" t="s">
        <v>40</v>
      </c>
      <c r="G123" s="328" t="s">
        <v>331</v>
      </c>
      <c r="H123" s="545">
        <v>64.209999999999994</v>
      </c>
      <c r="I123" s="346" t="s">
        <v>40</v>
      </c>
      <c r="L123" s="328" t="s">
        <v>331</v>
      </c>
      <c r="M123" s="545">
        <v>67.459999999999994</v>
      </c>
      <c r="N123" s="346" t="s">
        <v>40</v>
      </c>
      <c r="Q123" s="328" t="s">
        <v>331</v>
      </c>
      <c r="R123" s="545">
        <v>70.040000000000006</v>
      </c>
      <c r="S123" s="346" t="s">
        <v>40</v>
      </c>
      <c r="V123" s="328" t="s">
        <v>45</v>
      </c>
      <c r="W123" s="545">
        <f>B178*$W$122</f>
        <v>150</v>
      </c>
      <c r="X123" s="557" t="s">
        <v>25</v>
      </c>
    </row>
    <row r="124" spans="1:24" ht="14.25" hidden="1" customHeight="1" x14ac:dyDescent="0.25">
      <c r="A124" s="328" t="s">
        <v>335</v>
      </c>
      <c r="B124" s="566">
        <f>B179*$B$121</f>
        <v>90</v>
      </c>
      <c r="C124" s="346" t="s">
        <v>40</v>
      </c>
      <c r="D124" s="346" t="s">
        <v>40</v>
      </c>
      <c r="G124" s="328" t="s">
        <v>335</v>
      </c>
      <c r="H124" s="545">
        <f>B179*$H$121</f>
        <v>90</v>
      </c>
      <c r="I124" s="346" t="s">
        <v>40</v>
      </c>
      <c r="L124" s="328" t="s">
        <v>335</v>
      </c>
      <c r="M124" s="545">
        <f>B179*$M$121</f>
        <v>120</v>
      </c>
      <c r="N124" s="346" t="s">
        <v>40</v>
      </c>
      <c r="Q124" s="328" t="s">
        <v>335</v>
      </c>
      <c r="R124" s="545">
        <f>B179*$R$121</f>
        <v>120</v>
      </c>
      <c r="S124" s="346" t="s">
        <v>40</v>
      </c>
      <c r="V124" s="328" t="s">
        <v>331</v>
      </c>
      <c r="W124" s="545">
        <v>32.19</v>
      </c>
      <c r="X124" s="557"/>
    </row>
    <row r="125" spans="1:24" ht="14.25" hidden="1" customHeight="1" x14ac:dyDescent="0.25">
      <c r="A125" s="328" t="s">
        <v>62</v>
      </c>
      <c r="B125" s="566">
        <f>B180*$B$121</f>
        <v>45</v>
      </c>
      <c r="C125" s="346" t="s">
        <v>6</v>
      </c>
      <c r="D125" s="346" t="s">
        <v>6</v>
      </c>
      <c r="G125" s="328" t="s">
        <v>62</v>
      </c>
      <c r="H125" s="545">
        <f>B180*$H$121</f>
        <v>45</v>
      </c>
      <c r="I125" s="346" t="s">
        <v>6</v>
      </c>
      <c r="L125" s="328" t="s">
        <v>62</v>
      </c>
      <c r="M125" s="545">
        <f>B180*$M$121</f>
        <v>60</v>
      </c>
      <c r="N125" s="346" t="s">
        <v>6</v>
      </c>
      <c r="Q125" s="328" t="s">
        <v>62</v>
      </c>
      <c r="R125" s="545">
        <f>B180*$R$121</f>
        <v>60</v>
      </c>
      <c r="S125" s="346" t="s">
        <v>6</v>
      </c>
      <c r="V125" s="328" t="s">
        <v>335</v>
      </c>
      <c r="W125" s="545">
        <f>B179*$W$122</f>
        <v>60</v>
      </c>
      <c r="X125" s="557" t="s">
        <v>40</v>
      </c>
    </row>
    <row r="126" spans="1:24" ht="14.25" hidden="1" customHeight="1" x14ac:dyDescent="0.25">
      <c r="A126" s="328" t="s">
        <v>249</v>
      </c>
      <c r="B126" s="566">
        <v>54.77</v>
      </c>
      <c r="C126" s="346" t="s">
        <v>40</v>
      </c>
      <c r="D126" s="346" t="s">
        <v>40</v>
      </c>
      <c r="G126" s="328" t="s">
        <v>249</v>
      </c>
      <c r="H126" s="545">
        <v>64.209999999999994</v>
      </c>
      <c r="I126" s="346" t="s">
        <v>6</v>
      </c>
      <c r="L126" s="328" t="s">
        <v>249</v>
      </c>
      <c r="M126" s="545">
        <v>67.459999999999994</v>
      </c>
      <c r="N126" s="346" t="s">
        <v>6</v>
      </c>
      <c r="Q126" s="328" t="s">
        <v>249</v>
      </c>
      <c r="R126" s="545">
        <v>70.040000000000006</v>
      </c>
      <c r="S126" s="346" t="s">
        <v>6</v>
      </c>
      <c r="V126" s="328" t="s">
        <v>62</v>
      </c>
      <c r="W126" s="545">
        <f>B180*$W$122</f>
        <v>30</v>
      </c>
      <c r="X126" s="557" t="s">
        <v>6</v>
      </c>
    </row>
    <row r="127" spans="1:24" ht="14.25" hidden="1" customHeight="1" x14ac:dyDescent="0.25">
      <c r="A127" s="531" t="s">
        <v>137</v>
      </c>
      <c r="B127" s="565">
        <v>45</v>
      </c>
      <c r="C127" s="345"/>
      <c r="D127" s="345"/>
      <c r="G127" s="531" t="s">
        <v>137</v>
      </c>
      <c r="H127" s="544">
        <v>45</v>
      </c>
      <c r="I127" s="345"/>
      <c r="L127" s="531" t="s">
        <v>137</v>
      </c>
      <c r="M127" s="544">
        <v>60</v>
      </c>
      <c r="N127" s="345"/>
      <c r="Q127" s="531" t="s">
        <v>137</v>
      </c>
      <c r="R127" s="544">
        <v>60</v>
      </c>
      <c r="S127" s="345"/>
      <c r="V127" s="328" t="s">
        <v>249</v>
      </c>
      <c r="W127" s="545">
        <v>32.19</v>
      </c>
      <c r="X127" s="557" t="s">
        <v>6</v>
      </c>
    </row>
    <row r="128" spans="1:24" ht="14.25" hidden="1" customHeight="1" x14ac:dyDescent="0.25">
      <c r="A128" s="328" t="s">
        <v>139</v>
      </c>
      <c r="B128" s="566">
        <f>B182*$B$127</f>
        <v>45</v>
      </c>
      <c r="C128" s="346" t="s">
        <v>6</v>
      </c>
      <c r="D128" s="346" t="s">
        <v>6</v>
      </c>
      <c r="G128" s="328" t="s">
        <v>139</v>
      </c>
      <c r="H128" s="545">
        <f>B182*$H$127</f>
        <v>45</v>
      </c>
      <c r="I128" s="346" t="s">
        <v>6</v>
      </c>
      <c r="L128" s="328" t="s">
        <v>139</v>
      </c>
      <c r="M128" s="545">
        <f>B182*$M$127</f>
        <v>60</v>
      </c>
      <c r="N128" s="346" t="s">
        <v>6</v>
      </c>
      <c r="Q128" s="328" t="s">
        <v>139</v>
      </c>
      <c r="R128" s="545">
        <f>B182*$R$127</f>
        <v>60</v>
      </c>
      <c r="S128" s="346" t="s">
        <v>6</v>
      </c>
      <c r="V128" s="531" t="s">
        <v>137</v>
      </c>
      <c r="W128" s="544">
        <v>30</v>
      </c>
      <c r="X128" s="556" t="s">
        <v>6</v>
      </c>
    </row>
    <row r="129" spans="1:24" ht="14.25" hidden="1" customHeight="1" x14ac:dyDescent="0.25">
      <c r="A129" s="328" t="s">
        <v>140</v>
      </c>
      <c r="B129" s="566">
        <f>(B183*$B$127)-B131</f>
        <v>40.28</v>
      </c>
      <c r="C129" s="346" t="s">
        <v>6</v>
      </c>
      <c r="D129" s="346" t="s">
        <v>6</v>
      </c>
      <c r="G129" s="328" t="s">
        <v>140</v>
      </c>
      <c r="H129" s="545">
        <f>(B183*$H$127)-H131</f>
        <v>41.65</v>
      </c>
      <c r="I129" s="346" t="s">
        <v>6</v>
      </c>
      <c r="L129" s="328" t="s">
        <v>140</v>
      </c>
      <c r="M129" s="545">
        <f>(B183*$M$127)-M131</f>
        <v>55.3</v>
      </c>
      <c r="N129" s="346" t="s">
        <v>6</v>
      </c>
      <c r="Q129" s="328" t="s">
        <v>140</v>
      </c>
      <c r="R129" s="545">
        <f>(B183*$R$127)-R131</f>
        <v>56.35</v>
      </c>
      <c r="S129" s="346" t="s">
        <v>6</v>
      </c>
      <c r="V129" s="328" t="s">
        <v>139</v>
      </c>
      <c r="W129" s="545">
        <f>B182*$W$128</f>
        <v>30</v>
      </c>
      <c r="X129" s="557" t="s">
        <v>6</v>
      </c>
    </row>
    <row r="130" spans="1:24" ht="14.25" hidden="1" customHeight="1" x14ac:dyDescent="0.25">
      <c r="A130" s="328" t="s">
        <v>145</v>
      </c>
      <c r="B130" s="566">
        <f>B184*$B$129</f>
        <v>5.6392000000000007</v>
      </c>
      <c r="C130" s="346" t="s">
        <v>35</v>
      </c>
      <c r="D130" s="346" t="s">
        <v>35</v>
      </c>
      <c r="G130" s="328" t="s">
        <v>145</v>
      </c>
      <c r="H130" s="545">
        <f>B184*$H$129</f>
        <v>5.8310000000000004</v>
      </c>
      <c r="I130" s="346" t="s">
        <v>35</v>
      </c>
      <c r="L130" s="328" t="s">
        <v>145</v>
      </c>
      <c r="M130" s="545">
        <f>B184*$M$129</f>
        <v>7.742</v>
      </c>
      <c r="N130" s="346" t="s">
        <v>35</v>
      </c>
      <c r="Q130" s="328" t="s">
        <v>145</v>
      </c>
      <c r="R130" s="545">
        <f>B184*$R$127</f>
        <v>8.4</v>
      </c>
      <c r="S130" s="346" t="s">
        <v>35</v>
      </c>
      <c r="V130" s="328" t="s">
        <v>140</v>
      </c>
      <c r="W130" s="545">
        <f>(B183*$W$128)-W132</f>
        <v>28.01</v>
      </c>
      <c r="X130" s="557" t="s">
        <v>6</v>
      </c>
    </row>
    <row r="131" spans="1:24" ht="14.25" hidden="1" customHeight="1" x14ac:dyDescent="0.25">
      <c r="A131" s="328" t="s">
        <v>250</v>
      </c>
      <c r="B131" s="566">
        <v>4.72</v>
      </c>
      <c r="C131" s="346" t="s">
        <v>6</v>
      </c>
      <c r="D131" s="346" t="s">
        <v>6</v>
      </c>
      <c r="G131" s="328" t="s">
        <v>250</v>
      </c>
      <c r="H131" s="545">
        <v>3.35</v>
      </c>
      <c r="I131" s="346" t="s">
        <v>6</v>
      </c>
      <c r="L131" s="328" t="s">
        <v>250</v>
      </c>
      <c r="M131" s="545">
        <v>4.7</v>
      </c>
      <c r="N131" s="346" t="s">
        <v>6</v>
      </c>
      <c r="Q131" s="328" t="s">
        <v>250</v>
      </c>
      <c r="R131" s="545">
        <v>3.65</v>
      </c>
      <c r="S131" s="346" t="s">
        <v>6</v>
      </c>
      <c r="V131" s="328" t="s">
        <v>145</v>
      </c>
      <c r="W131" s="547">
        <f>B184*$W$130</f>
        <v>3.9214000000000007</v>
      </c>
      <c r="X131" s="557" t="s">
        <v>35</v>
      </c>
    </row>
    <row r="132" spans="1:24" ht="14.25" hidden="1" customHeight="1" x14ac:dyDescent="0.25">
      <c r="A132" s="328" t="s">
        <v>251</v>
      </c>
      <c r="B132" s="566">
        <v>10.42</v>
      </c>
      <c r="C132" s="346" t="s">
        <v>40</v>
      </c>
      <c r="D132" s="346" t="s">
        <v>40</v>
      </c>
      <c r="G132" s="328" t="s">
        <v>251</v>
      </c>
      <c r="H132" s="545">
        <v>6.21</v>
      </c>
      <c r="I132" s="346" t="s">
        <v>40</v>
      </c>
      <c r="L132" s="328" t="s">
        <v>251</v>
      </c>
      <c r="M132" s="545">
        <v>10.85</v>
      </c>
      <c r="N132" s="346" t="s">
        <v>40</v>
      </c>
      <c r="Q132" s="328" t="s">
        <v>251</v>
      </c>
      <c r="R132" s="545">
        <v>6.45</v>
      </c>
      <c r="S132" s="346" t="s">
        <v>40</v>
      </c>
      <c r="V132" s="328" t="s">
        <v>250</v>
      </c>
      <c r="W132" s="545">
        <v>1.99</v>
      </c>
      <c r="X132" s="557" t="s">
        <v>6</v>
      </c>
    </row>
    <row r="133" spans="1:24" ht="14.25" hidden="1" customHeight="1" x14ac:dyDescent="0.25">
      <c r="V133" s="328" t="s">
        <v>251</v>
      </c>
      <c r="W133" s="545">
        <v>4.32</v>
      </c>
      <c r="X133" s="557" t="s">
        <v>40</v>
      </c>
    </row>
    <row r="134" spans="1:24" ht="14.25" hidden="1" customHeight="1" x14ac:dyDescent="0.25"/>
    <row r="135" spans="1:24" ht="14.25" hidden="1" customHeight="1" x14ac:dyDescent="0.25"/>
    <row r="136" spans="1:24" ht="13.8" hidden="1" x14ac:dyDescent="0.25"/>
    <row r="137" spans="1:24" ht="14.25" hidden="1" customHeight="1" x14ac:dyDescent="0.25"/>
    <row r="138" spans="1:24" ht="14.25" hidden="1" customHeight="1" x14ac:dyDescent="0.25"/>
    <row r="139" spans="1:24" ht="14.25" hidden="1" customHeight="1" x14ac:dyDescent="0.25"/>
    <row r="140" spans="1:24" ht="14.25" hidden="1" customHeight="1" x14ac:dyDescent="0.25">
      <c r="A140" s="965" t="s">
        <v>252</v>
      </c>
      <c r="B140" s="963"/>
      <c r="C140" s="963"/>
      <c r="D140" s="964"/>
      <c r="G140" s="965" t="s">
        <v>338</v>
      </c>
      <c r="H140" s="963"/>
      <c r="I140" s="964"/>
      <c r="L140" s="965" t="s">
        <v>253</v>
      </c>
      <c r="M140" s="963"/>
      <c r="N140" s="964"/>
      <c r="Q140" s="965" t="s">
        <v>254</v>
      </c>
      <c r="R140" s="963"/>
      <c r="S140" s="964"/>
    </row>
    <row r="141" spans="1:24" ht="14.25" hidden="1" customHeight="1" x14ac:dyDescent="0.25">
      <c r="A141" s="328" t="s">
        <v>332</v>
      </c>
      <c r="B141" s="566">
        <f>SUM(B106+B114)</f>
        <v>115.67999999999999</v>
      </c>
      <c r="C141" s="346" t="s">
        <v>40</v>
      </c>
      <c r="D141" s="346" t="s">
        <v>40</v>
      </c>
      <c r="G141" s="328" t="s">
        <v>332</v>
      </c>
      <c r="H141" s="545">
        <f>SUM(H106+H114)</f>
        <v>109.11</v>
      </c>
      <c r="I141" s="346" t="s">
        <v>40</v>
      </c>
      <c r="L141" s="328" t="s">
        <v>332</v>
      </c>
      <c r="M141" s="545">
        <f>SUM(M106+M114)</f>
        <v>139.52000000000001</v>
      </c>
      <c r="N141" s="346" t="s">
        <v>40</v>
      </c>
      <c r="Q141" s="328" t="s">
        <v>332</v>
      </c>
      <c r="R141" s="545">
        <f>SUM(R106+R114)</f>
        <v>157.1</v>
      </c>
      <c r="S141" s="346" t="s">
        <v>40</v>
      </c>
      <c r="V141" s="965" t="s">
        <v>255</v>
      </c>
      <c r="W141" s="963"/>
      <c r="X141" s="964"/>
    </row>
    <row r="142" spans="1:24" ht="14.25" hidden="1" customHeight="1" x14ac:dyDescent="0.25">
      <c r="A142" s="328" t="s">
        <v>333</v>
      </c>
      <c r="B142" s="566">
        <f>SUM(B107+B115)</f>
        <v>289.2</v>
      </c>
      <c r="C142" s="346" t="s">
        <v>40</v>
      </c>
      <c r="D142" s="346" t="s">
        <v>40</v>
      </c>
      <c r="G142" s="328" t="s">
        <v>333</v>
      </c>
      <c r="H142" s="545">
        <f>SUM(H107+H115)</f>
        <v>272.77499999999998</v>
      </c>
      <c r="I142" s="346" t="s">
        <v>40</v>
      </c>
      <c r="L142" s="328" t="s">
        <v>333</v>
      </c>
      <c r="M142" s="545">
        <f>SUM(M107+M115)</f>
        <v>348.8</v>
      </c>
      <c r="N142" s="346" t="s">
        <v>40</v>
      </c>
      <c r="Q142" s="328" t="s">
        <v>333</v>
      </c>
      <c r="R142" s="545">
        <f>SUM(R107+R115)</f>
        <v>392.75</v>
      </c>
      <c r="S142" s="346" t="s">
        <v>40</v>
      </c>
      <c r="V142" s="328" t="s">
        <v>332</v>
      </c>
      <c r="W142" s="545">
        <f>SUM(W107+W115)</f>
        <v>76.03</v>
      </c>
      <c r="X142" s="557" t="s">
        <v>40</v>
      </c>
    </row>
    <row r="143" spans="1:24" ht="14.25" hidden="1" customHeight="1" x14ac:dyDescent="0.25">
      <c r="A143" s="328" t="s">
        <v>44</v>
      </c>
      <c r="B143" s="567">
        <f>SUM(B108+B116)</f>
        <v>925.43999999999994</v>
      </c>
      <c r="C143" s="346" t="s">
        <v>256</v>
      </c>
      <c r="D143" s="346" t="s">
        <v>256</v>
      </c>
      <c r="G143" s="328" t="s">
        <v>44</v>
      </c>
      <c r="H143" s="546">
        <f>SUM(H108+H116)</f>
        <v>872.88</v>
      </c>
      <c r="I143" s="346" t="s">
        <v>256</v>
      </c>
      <c r="L143" s="328" t="s">
        <v>44</v>
      </c>
      <c r="M143" s="546">
        <f>SUM(M108+M116)</f>
        <v>1116.1600000000001</v>
      </c>
      <c r="N143" s="346" t="s">
        <v>256</v>
      </c>
      <c r="Q143" s="328" t="s">
        <v>44</v>
      </c>
      <c r="R143" s="545">
        <f>SUM(R108+R116)</f>
        <v>1256.8</v>
      </c>
      <c r="S143" s="346" t="s">
        <v>256</v>
      </c>
      <c r="V143" s="328" t="s">
        <v>333</v>
      </c>
      <c r="W143" s="547">
        <f>SUM(W108+W116)</f>
        <v>190.07499999999999</v>
      </c>
      <c r="X143" s="557" t="s">
        <v>40</v>
      </c>
    </row>
    <row r="144" spans="1:24" ht="14.25" hidden="1" customHeight="1" x14ac:dyDescent="0.25">
      <c r="A144" s="328" t="s">
        <v>45</v>
      </c>
      <c r="B144" s="567">
        <f>SUM(B109+B117+B122)</f>
        <v>1944.3799999999999</v>
      </c>
      <c r="C144" s="346" t="s">
        <v>256</v>
      </c>
      <c r="D144" s="346" t="s">
        <v>256</v>
      </c>
      <c r="G144" s="328" t="s">
        <v>45</v>
      </c>
      <c r="H144" s="546">
        <f>SUM(H109+H117+H122)</f>
        <v>1972.33</v>
      </c>
      <c r="I144" s="346" t="s">
        <v>256</v>
      </c>
      <c r="L144" s="328" t="s">
        <v>45</v>
      </c>
      <c r="M144" s="546">
        <f>SUM(M109+M117+M122)</f>
        <v>2476.0700000000002</v>
      </c>
      <c r="N144" s="346" t="s">
        <v>256</v>
      </c>
      <c r="Q144" s="328" t="s">
        <v>45</v>
      </c>
      <c r="R144" s="545">
        <f>SUM(R109+R117+R122)</f>
        <v>2642.47</v>
      </c>
      <c r="S144" s="346" t="s">
        <v>256</v>
      </c>
      <c r="V144" s="328" t="s">
        <v>44</v>
      </c>
      <c r="W144" s="545">
        <f>SUM(W109+W117)</f>
        <v>608.24</v>
      </c>
      <c r="X144" s="557" t="s">
        <v>256</v>
      </c>
    </row>
    <row r="145" spans="1:24" ht="14.25" hidden="1" customHeight="1" x14ac:dyDescent="0.25">
      <c r="A145" s="328" t="s">
        <v>233</v>
      </c>
      <c r="B145" s="568">
        <f>SUM(B110+B118)</f>
        <v>218.22899999999998</v>
      </c>
      <c r="C145" s="346" t="s">
        <v>40</v>
      </c>
      <c r="D145" s="346" t="s">
        <v>40</v>
      </c>
      <c r="G145" s="328" t="s">
        <v>233</v>
      </c>
      <c r="H145" s="547">
        <f>SUM(H110+H118)</f>
        <v>221.7765</v>
      </c>
      <c r="I145" s="346" t="s">
        <v>40</v>
      </c>
      <c r="L145" s="328" t="s">
        <v>233</v>
      </c>
      <c r="M145" s="545">
        <f>SUM(M110+M118)</f>
        <v>276.19349999999997</v>
      </c>
      <c r="N145" s="346" t="s">
        <v>40</v>
      </c>
      <c r="Q145" s="328" t="s">
        <v>233</v>
      </c>
      <c r="R145" s="545">
        <f>SUM(R110+R118)</f>
        <v>297.31349999999998</v>
      </c>
      <c r="S145" s="346" t="s">
        <v>40</v>
      </c>
      <c r="V145" s="328" t="s">
        <v>45</v>
      </c>
      <c r="W145" s="545">
        <f>SUM(W110+W118+W123)</f>
        <v>1207.81</v>
      </c>
      <c r="X145" s="557" t="s">
        <v>256</v>
      </c>
    </row>
    <row r="146" spans="1:24" ht="14.25" hidden="1" customHeight="1" x14ac:dyDescent="0.25">
      <c r="A146" s="328" t="s">
        <v>43</v>
      </c>
      <c r="B146" s="568">
        <f>SUM(B111+B119)</f>
        <v>6.7788000000000004</v>
      </c>
      <c r="C146" s="346" t="s">
        <v>34</v>
      </c>
      <c r="D146" s="346" t="s">
        <v>34</v>
      </c>
      <c r="G146" s="328" t="s">
        <v>43</v>
      </c>
      <c r="H146" s="548">
        <f>SUM(H111+H119)</f>
        <v>6.9734999999999996</v>
      </c>
      <c r="I146" s="346" t="s">
        <v>34</v>
      </c>
      <c r="L146" s="328" t="s">
        <v>43</v>
      </c>
      <c r="M146" s="545">
        <f>SUM(M111+M119)</f>
        <v>8.648200000000001</v>
      </c>
      <c r="N146" s="346" t="s">
        <v>34</v>
      </c>
      <c r="Q146" s="328" t="s">
        <v>43</v>
      </c>
      <c r="R146" s="545">
        <f>SUM(R111+R119)</f>
        <v>9.2403999999999993</v>
      </c>
      <c r="S146" s="346" t="s">
        <v>34</v>
      </c>
      <c r="V146" s="328" t="s">
        <v>233</v>
      </c>
      <c r="W146" s="547">
        <f>SUM(W111+W119)</f>
        <v>134.26049999999998</v>
      </c>
      <c r="X146" s="557" t="s">
        <v>40</v>
      </c>
    </row>
    <row r="147" spans="1:24" ht="14.25" hidden="1" customHeight="1" x14ac:dyDescent="0.25">
      <c r="A147" s="328" t="s">
        <v>257</v>
      </c>
      <c r="B147" s="568">
        <f>SUM(B112+B120)-13.072</f>
        <v>124.97199999999998</v>
      </c>
      <c r="C147" s="346" t="s">
        <v>6</v>
      </c>
      <c r="D147" s="346" t="s">
        <v>6</v>
      </c>
      <c r="G147" s="328" t="s">
        <v>257</v>
      </c>
      <c r="H147" s="547">
        <f>SUM(H112+H120)-12.836</f>
        <v>127.0295</v>
      </c>
      <c r="I147" s="346" t="s">
        <v>6</v>
      </c>
      <c r="L147" s="328" t="s">
        <v>257</v>
      </c>
      <c r="M147" s="545">
        <f>SUM(M112+M120)-17.272</f>
        <v>157.09400000000002</v>
      </c>
      <c r="N147" s="346" t="s">
        <v>6</v>
      </c>
      <c r="Q147" s="328" t="s">
        <v>257</v>
      </c>
      <c r="R147" s="545">
        <f>SUM(R112+R120)-15.95</f>
        <v>172.095</v>
      </c>
      <c r="S147" s="346" t="s">
        <v>6</v>
      </c>
      <c r="V147" s="328" t="s">
        <v>43</v>
      </c>
      <c r="W147" s="547">
        <f>SUM(W112+W120)</f>
        <v>4.1219000000000001</v>
      </c>
      <c r="X147" s="557" t="s">
        <v>34</v>
      </c>
    </row>
    <row r="148" spans="1:24" ht="14.25" hidden="1" customHeight="1" x14ac:dyDescent="0.25">
      <c r="A148" s="328" t="s">
        <v>335</v>
      </c>
      <c r="B148" s="566">
        <f t="shared" ref="B148:B149" si="33">B124</f>
        <v>90</v>
      </c>
      <c r="C148" s="346" t="s">
        <v>40</v>
      </c>
      <c r="D148" s="346" t="s">
        <v>40</v>
      </c>
      <c r="G148" s="328" t="s">
        <v>335</v>
      </c>
      <c r="H148" s="545">
        <f t="shared" ref="H148:H149" si="34">H124</f>
        <v>90</v>
      </c>
      <c r="I148" s="346" t="s">
        <v>40</v>
      </c>
      <c r="L148" s="328" t="s">
        <v>335</v>
      </c>
      <c r="M148" s="545">
        <f t="shared" ref="M148:M149" si="35">M124</f>
        <v>120</v>
      </c>
      <c r="N148" s="346" t="s">
        <v>40</v>
      </c>
      <c r="Q148" s="328" t="s">
        <v>335</v>
      </c>
      <c r="R148" s="545">
        <f t="shared" ref="R148:R149" si="36">R124</f>
        <v>120</v>
      </c>
      <c r="S148" s="346" t="s">
        <v>40</v>
      </c>
      <c r="V148" s="328" t="s">
        <v>257</v>
      </c>
      <c r="W148" s="547">
        <f>SUM(W113+W121)-9.83</f>
        <v>75.341500000000011</v>
      </c>
      <c r="X148" s="557" t="s">
        <v>6</v>
      </c>
    </row>
    <row r="149" spans="1:24" ht="14.25" hidden="1" customHeight="1" x14ac:dyDescent="0.25">
      <c r="A149" s="328" t="s">
        <v>62</v>
      </c>
      <c r="B149" s="566">
        <f t="shared" si="33"/>
        <v>45</v>
      </c>
      <c r="C149" s="346" t="s">
        <v>6</v>
      </c>
      <c r="D149" s="346" t="s">
        <v>6</v>
      </c>
      <c r="G149" s="328" t="s">
        <v>62</v>
      </c>
      <c r="H149" s="545">
        <f t="shared" si="34"/>
        <v>45</v>
      </c>
      <c r="I149" s="346" t="s">
        <v>6</v>
      </c>
      <c r="L149" s="328" t="s">
        <v>62</v>
      </c>
      <c r="M149" s="545">
        <f t="shared" si="35"/>
        <v>60</v>
      </c>
      <c r="N149" s="346" t="s">
        <v>6</v>
      </c>
      <c r="Q149" s="328" t="s">
        <v>62</v>
      </c>
      <c r="R149" s="545">
        <f t="shared" si="36"/>
        <v>60</v>
      </c>
      <c r="S149" s="346" t="s">
        <v>6</v>
      </c>
      <c r="V149" s="328" t="s">
        <v>335</v>
      </c>
      <c r="W149" s="545">
        <f t="shared" ref="W149:W150" si="37">W125</f>
        <v>60</v>
      </c>
      <c r="X149" s="557" t="s">
        <v>40</v>
      </c>
    </row>
    <row r="150" spans="1:24" ht="14.25" hidden="1" customHeight="1" x14ac:dyDescent="0.25">
      <c r="A150" s="328" t="s">
        <v>331</v>
      </c>
      <c r="B150" s="566">
        <v>54.77</v>
      </c>
      <c r="C150" s="346" t="s">
        <v>40</v>
      </c>
      <c r="D150" s="346" t="s">
        <v>40</v>
      </c>
      <c r="G150" s="328" t="s">
        <v>331</v>
      </c>
      <c r="H150" s="545">
        <v>64.209999999999994</v>
      </c>
      <c r="I150" s="346" t="s">
        <v>40</v>
      </c>
      <c r="L150" s="328" t="s">
        <v>331</v>
      </c>
      <c r="M150" s="545">
        <f>M123</f>
        <v>67.459999999999994</v>
      </c>
      <c r="N150" s="346" t="s">
        <v>40</v>
      </c>
      <c r="Q150" s="328" t="s">
        <v>331</v>
      </c>
      <c r="R150" s="545">
        <f>R123</f>
        <v>70.040000000000006</v>
      </c>
      <c r="S150" s="346" t="s">
        <v>40</v>
      </c>
      <c r="V150" s="328" t="s">
        <v>62</v>
      </c>
      <c r="W150" s="545">
        <f t="shared" si="37"/>
        <v>30</v>
      </c>
      <c r="X150" s="557" t="s">
        <v>6</v>
      </c>
    </row>
    <row r="151" spans="1:24" ht="14.25" hidden="1" customHeight="1" x14ac:dyDescent="0.25">
      <c r="A151" s="328" t="s">
        <v>258</v>
      </c>
      <c r="B151" s="566">
        <f>B126</f>
        <v>54.77</v>
      </c>
      <c r="C151" s="346" t="s">
        <v>40</v>
      </c>
      <c r="D151" s="346" t="s">
        <v>40</v>
      </c>
      <c r="G151" s="328" t="s">
        <v>258</v>
      </c>
      <c r="H151" s="545">
        <f>H126</f>
        <v>64.209999999999994</v>
      </c>
      <c r="I151" s="346" t="s">
        <v>40</v>
      </c>
      <c r="L151" s="328" t="s">
        <v>258</v>
      </c>
      <c r="M151" s="545">
        <f>M126</f>
        <v>67.459999999999994</v>
      </c>
      <c r="N151" s="346" t="s">
        <v>40</v>
      </c>
      <c r="Q151" s="328" t="s">
        <v>258</v>
      </c>
      <c r="R151" s="545">
        <f>R126</f>
        <v>70.040000000000006</v>
      </c>
      <c r="S151" s="346" t="s">
        <v>40</v>
      </c>
      <c r="V151" s="328" t="s">
        <v>331</v>
      </c>
      <c r="W151" s="545">
        <f>W124</f>
        <v>32.19</v>
      </c>
      <c r="X151" s="557" t="s">
        <v>40</v>
      </c>
    </row>
    <row r="152" spans="1:24" ht="14.25" hidden="1" customHeight="1" x14ac:dyDescent="0.25">
      <c r="A152" s="328" t="s">
        <v>139</v>
      </c>
      <c r="B152" s="566">
        <f t="shared" ref="B152:B156" si="38">B128</f>
        <v>45</v>
      </c>
      <c r="C152" s="346" t="s">
        <v>6</v>
      </c>
      <c r="D152" s="346" t="s">
        <v>6</v>
      </c>
      <c r="G152" s="328" t="s">
        <v>139</v>
      </c>
      <c r="H152" s="545">
        <f t="shared" ref="H152:H155" si="39">H128</f>
        <v>45</v>
      </c>
      <c r="I152" s="346" t="s">
        <v>6</v>
      </c>
      <c r="L152" s="328" t="s">
        <v>139</v>
      </c>
      <c r="M152" s="545">
        <f t="shared" ref="M152:M155" si="40">M128</f>
        <v>60</v>
      </c>
      <c r="N152" s="346" t="s">
        <v>6</v>
      </c>
      <c r="Q152" s="328" t="s">
        <v>139</v>
      </c>
      <c r="R152" s="545">
        <f t="shared" ref="R152:R156" si="41">R128</f>
        <v>60</v>
      </c>
      <c r="S152" s="346" t="s">
        <v>6</v>
      </c>
      <c r="V152" s="328" t="s">
        <v>258</v>
      </c>
      <c r="W152" s="545">
        <f>W127</f>
        <v>32.19</v>
      </c>
      <c r="X152" s="557" t="s">
        <v>40</v>
      </c>
    </row>
    <row r="153" spans="1:24" ht="14.25" hidden="1" customHeight="1" x14ac:dyDescent="0.25">
      <c r="A153" s="328" t="s">
        <v>259</v>
      </c>
      <c r="B153" s="566">
        <f t="shared" si="38"/>
        <v>40.28</v>
      </c>
      <c r="C153" s="346" t="s">
        <v>6</v>
      </c>
      <c r="D153" s="346" t="s">
        <v>6</v>
      </c>
      <c r="G153" s="328" t="s">
        <v>259</v>
      </c>
      <c r="H153" s="545">
        <f t="shared" si="39"/>
        <v>41.65</v>
      </c>
      <c r="I153" s="346" t="s">
        <v>6</v>
      </c>
      <c r="L153" s="328" t="s">
        <v>259</v>
      </c>
      <c r="M153" s="545">
        <f t="shared" si="40"/>
        <v>55.3</v>
      </c>
      <c r="N153" s="346" t="s">
        <v>6</v>
      </c>
      <c r="Q153" s="328" t="s">
        <v>259</v>
      </c>
      <c r="R153" s="545">
        <f t="shared" si="41"/>
        <v>56.35</v>
      </c>
      <c r="S153" s="346" t="s">
        <v>6</v>
      </c>
      <c r="V153" s="328" t="s">
        <v>139</v>
      </c>
      <c r="W153" s="545">
        <f t="shared" ref="W153:W157" si="42">W129</f>
        <v>30</v>
      </c>
      <c r="X153" s="557" t="s">
        <v>6</v>
      </c>
    </row>
    <row r="154" spans="1:24" ht="14.25" hidden="1" customHeight="1" x14ac:dyDescent="0.25">
      <c r="A154" s="328" t="s">
        <v>145</v>
      </c>
      <c r="B154" s="568">
        <f t="shared" si="38"/>
        <v>5.6392000000000007</v>
      </c>
      <c r="C154" s="346" t="s">
        <v>34</v>
      </c>
      <c r="D154" s="346" t="s">
        <v>34</v>
      </c>
      <c r="G154" s="328" t="s">
        <v>145</v>
      </c>
      <c r="H154" s="547">
        <f t="shared" si="39"/>
        <v>5.8310000000000004</v>
      </c>
      <c r="I154" s="346" t="s">
        <v>34</v>
      </c>
      <c r="L154" s="328" t="s">
        <v>145</v>
      </c>
      <c r="M154" s="547">
        <f t="shared" si="40"/>
        <v>7.742</v>
      </c>
      <c r="N154" s="346" t="s">
        <v>34</v>
      </c>
      <c r="Q154" s="328" t="s">
        <v>145</v>
      </c>
      <c r="R154" s="545">
        <f t="shared" si="41"/>
        <v>8.4</v>
      </c>
      <c r="S154" s="346" t="s">
        <v>35</v>
      </c>
      <c r="V154" s="328" t="s">
        <v>259</v>
      </c>
      <c r="W154" s="545">
        <f t="shared" si="42"/>
        <v>28.01</v>
      </c>
      <c r="X154" s="557" t="s">
        <v>6</v>
      </c>
    </row>
    <row r="155" spans="1:24" ht="14.25" hidden="1" customHeight="1" x14ac:dyDescent="0.25">
      <c r="A155" s="328" t="s">
        <v>250</v>
      </c>
      <c r="B155" s="566">
        <f t="shared" si="38"/>
        <v>4.72</v>
      </c>
      <c r="C155" s="346" t="s">
        <v>6</v>
      </c>
      <c r="D155" s="346" t="s">
        <v>6</v>
      </c>
      <c r="G155" s="328" t="s">
        <v>250</v>
      </c>
      <c r="H155" s="545">
        <f t="shared" si="39"/>
        <v>3.35</v>
      </c>
      <c r="I155" s="346" t="s">
        <v>6</v>
      </c>
      <c r="L155" s="328" t="s">
        <v>250</v>
      </c>
      <c r="M155" s="545">
        <f t="shared" si="40"/>
        <v>4.7</v>
      </c>
      <c r="N155" s="346" t="s">
        <v>6</v>
      </c>
      <c r="Q155" s="328" t="s">
        <v>250</v>
      </c>
      <c r="R155" s="545">
        <f t="shared" si="41"/>
        <v>3.65</v>
      </c>
      <c r="S155" s="346" t="s">
        <v>6</v>
      </c>
      <c r="V155" s="328" t="s">
        <v>145</v>
      </c>
      <c r="W155" s="547">
        <f t="shared" si="42"/>
        <v>3.9214000000000007</v>
      </c>
      <c r="X155" s="557" t="s">
        <v>35</v>
      </c>
    </row>
    <row r="156" spans="1:24" ht="14.25" hidden="1" customHeight="1" x14ac:dyDescent="0.25">
      <c r="A156" s="328" t="s">
        <v>251</v>
      </c>
      <c r="B156" s="566">
        <f t="shared" si="38"/>
        <v>10.42</v>
      </c>
      <c r="C156" s="346" t="s">
        <v>40</v>
      </c>
      <c r="D156" s="346" t="s">
        <v>40</v>
      </c>
      <c r="G156" s="328" t="s">
        <v>251</v>
      </c>
      <c r="H156" s="545">
        <f>H132</f>
        <v>6.21</v>
      </c>
      <c r="I156" s="346" t="s">
        <v>40</v>
      </c>
      <c r="L156" s="328" t="s">
        <v>251</v>
      </c>
      <c r="M156" s="545">
        <f>M132</f>
        <v>10.85</v>
      </c>
      <c r="N156" s="346" t="s">
        <v>40</v>
      </c>
      <c r="Q156" s="328" t="s">
        <v>251</v>
      </c>
      <c r="R156" s="545">
        <f t="shared" si="41"/>
        <v>6.45</v>
      </c>
      <c r="S156" s="346" t="s">
        <v>40</v>
      </c>
      <c r="V156" s="328" t="s">
        <v>250</v>
      </c>
      <c r="W156" s="545">
        <f t="shared" si="42"/>
        <v>1.99</v>
      </c>
      <c r="X156" s="557" t="s">
        <v>6</v>
      </c>
    </row>
    <row r="157" spans="1:24" ht="14.25" hidden="1" customHeight="1" x14ac:dyDescent="0.25">
      <c r="A157" s="328" t="s">
        <v>351</v>
      </c>
      <c r="B157" s="566">
        <f>B105+B113+B121</f>
        <v>160.68</v>
      </c>
      <c r="C157" s="346" t="s">
        <v>6</v>
      </c>
      <c r="D157" s="346" t="s">
        <v>6</v>
      </c>
      <c r="G157" s="328" t="s">
        <v>351</v>
      </c>
      <c r="H157" s="545">
        <f>H105+H113+H121</f>
        <v>154.11000000000001</v>
      </c>
      <c r="I157" s="346" t="s">
        <v>6</v>
      </c>
      <c r="L157" s="328" t="s">
        <v>351</v>
      </c>
      <c r="M157" s="545">
        <f>M105+M113+M121</f>
        <v>199.52</v>
      </c>
      <c r="N157" s="346" t="s">
        <v>6</v>
      </c>
      <c r="Q157" s="328" t="s">
        <v>351</v>
      </c>
      <c r="R157" s="545">
        <f>R105+R113+R121</f>
        <v>217.1</v>
      </c>
      <c r="S157" s="346" t="s">
        <v>6</v>
      </c>
      <c r="V157" s="328" t="s">
        <v>251</v>
      </c>
      <c r="W157" s="545">
        <f t="shared" si="42"/>
        <v>4.32</v>
      </c>
      <c r="X157" s="557" t="s">
        <v>40</v>
      </c>
    </row>
    <row r="158" spans="1:24" ht="14.25" hidden="1" customHeight="1" x14ac:dyDescent="0.25">
      <c r="V158" s="328" t="s">
        <v>351</v>
      </c>
      <c r="W158" s="545">
        <f>W106+W114+W122</f>
        <v>106.03</v>
      </c>
      <c r="X158" s="557" t="s">
        <v>6</v>
      </c>
    </row>
    <row r="159" spans="1:24" ht="14.25" hidden="1" customHeight="1" x14ac:dyDescent="0.25"/>
    <row r="160" spans="1:24" ht="14.25" hidden="1" customHeight="1" x14ac:dyDescent="0.25">
      <c r="A160" s="530" t="s">
        <v>212</v>
      </c>
      <c r="B160" s="564" t="s">
        <v>20</v>
      </c>
      <c r="C160" s="344" t="s">
        <v>21</v>
      </c>
      <c r="D160" s="344" t="s">
        <v>21</v>
      </c>
    </row>
    <row r="161" spans="1:16" ht="14.25" hidden="1" customHeight="1" x14ac:dyDescent="0.25">
      <c r="A161" s="962" t="s">
        <v>219</v>
      </c>
      <c r="B161" s="963"/>
      <c r="C161" s="963"/>
      <c r="D161" s="964"/>
    </row>
    <row r="162" spans="1:16" ht="14.25" hidden="1" customHeight="1" x14ac:dyDescent="0.25">
      <c r="A162" s="328" t="s">
        <v>332</v>
      </c>
      <c r="B162" s="566">
        <v>1</v>
      </c>
      <c r="C162" s="346" t="s">
        <v>40</v>
      </c>
      <c r="D162" s="346" t="s">
        <v>40</v>
      </c>
    </row>
    <row r="163" spans="1:16" ht="14.25" hidden="1" customHeight="1" x14ac:dyDescent="0.25">
      <c r="A163" s="328" t="s">
        <v>333</v>
      </c>
      <c r="B163" s="566">
        <v>2.5</v>
      </c>
      <c r="C163" s="346" t="s">
        <v>40</v>
      </c>
      <c r="D163" s="346" t="s">
        <v>40</v>
      </c>
    </row>
    <row r="164" spans="1:16" ht="14.25" hidden="1" customHeight="1" x14ac:dyDescent="0.25">
      <c r="A164" s="328" t="s">
        <v>44</v>
      </c>
      <c r="B164" s="566">
        <v>8</v>
      </c>
      <c r="C164" s="346" t="s">
        <v>25</v>
      </c>
      <c r="D164" s="346" t="s">
        <v>25</v>
      </c>
    </row>
    <row r="165" spans="1:16" ht="14.25" hidden="1" customHeight="1" x14ac:dyDescent="0.25">
      <c r="A165" s="328" t="s">
        <v>45</v>
      </c>
      <c r="B165" s="566">
        <v>26</v>
      </c>
      <c r="C165" s="346" t="s">
        <v>25</v>
      </c>
      <c r="D165" s="346" t="s">
        <v>25</v>
      </c>
    </row>
    <row r="166" spans="1:16" ht="14.25" hidden="1" customHeight="1" x14ac:dyDescent="0.25">
      <c r="A166" s="328" t="s">
        <v>233</v>
      </c>
      <c r="B166" s="566">
        <v>3.3</v>
      </c>
      <c r="C166" s="346" t="s">
        <v>40</v>
      </c>
      <c r="D166" s="346" t="s">
        <v>40</v>
      </c>
    </row>
    <row r="167" spans="1:16" ht="14.25" hidden="1" customHeight="1" x14ac:dyDescent="0.25">
      <c r="A167" s="328" t="s">
        <v>43</v>
      </c>
      <c r="B167" s="566">
        <v>0.11</v>
      </c>
      <c r="C167" s="346" t="s">
        <v>34</v>
      </c>
      <c r="D167" s="346" t="s">
        <v>34</v>
      </c>
    </row>
    <row r="168" spans="1:16" ht="14.25" hidden="1" customHeight="1" x14ac:dyDescent="0.25">
      <c r="A168" s="328" t="s">
        <v>236</v>
      </c>
      <c r="B168" s="566">
        <v>2.0499999999999998</v>
      </c>
      <c r="C168" s="346" t="s">
        <v>6</v>
      </c>
      <c r="D168" s="346" t="s">
        <v>6</v>
      </c>
    </row>
    <row r="169" spans="1:16" ht="14.25" hidden="1" customHeight="1" x14ac:dyDescent="0.25">
      <c r="A169" s="962" t="s">
        <v>239</v>
      </c>
      <c r="B169" s="963"/>
      <c r="C169" s="963"/>
      <c r="D169" s="964"/>
    </row>
    <row r="170" spans="1:16" ht="14.25" hidden="1" customHeight="1" x14ac:dyDescent="0.25">
      <c r="A170" s="328" t="s">
        <v>332</v>
      </c>
      <c r="B170" s="566">
        <v>1</v>
      </c>
      <c r="C170" s="346" t="s">
        <v>40</v>
      </c>
      <c r="D170" s="346" t="s">
        <v>40</v>
      </c>
    </row>
    <row r="171" spans="1:16" ht="14.25" hidden="1" customHeight="1" x14ac:dyDescent="0.25">
      <c r="A171" s="328" t="s">
        <v>333</v>
      </c>
      <c r="B171" s="566">
        <v>2.5</v>
      </c>
      <c r="C171" s="346" t="s">
        <v>40</v>
      </c>
      <c r="D171" s="346" t="s">
        <v>40</v>
      </c>
    </row>
    <row r="172" spans="1:16" ht="14.25" hidden="1" customHeight="1" x14ac:dyDescent="0.25">
      <c r="A172" s="328" t="s">
        <v>44</v>
      </c>
      <c r="B172" s="566">
        <v>8</v>
      </c>
      <c r="C172" s="346" t="s">
        <v>25</v>
      </c>
      <c r="D172" s="346" t="s">
        <v>25</v>
      </c>
    </row>
    <row r="173" spans="1:16" ht="14.25" hidden="1" customHeight="1" x14ac:dyDescent="0.25">
      <c r="A173" s="328" t="s">
        <v>45</v>
      </c>
      <c r="B173" s="566">
        <v>13</v>
      </c>
      <c r="C173" s="346" t="s">
        <v>25</v>
      </c>
      <c r="D173" s="346" t="s">
        <v>25</v>
      </c>
    </row>
    <row r="174" spans="1:16" ht="14.25" hidden="1" customHeight="1" x14ac:dyDescent="0.25">
      <c r="A174" s="328" t="s">
        <v>233</v>
      </c>
      <c r="B174" s="566">
        <v>1.65</v>
      </c>
      <c r="C174" s="346" t="s">
        <v>40</v>
      </c>
      <c r="D174" s="346" t="s">
        <v>40</v>
      </c>
      <c r="H174" s="387" t="s">
        <v>339</v>
      </c>
      <c r="J174" s="284" t="s">
        <v>340</v>
      </c>
      <c r="M174" s="387" t="s">
        <v>346</v>
      </c>
      <c r="O174" s="284" t="s">
        <v>352</v>
      </c>
      <c r="P174" s="284" t="s">
        <v>353</v>
      </c>
    </row>
    <row r="175" spans="1:16" ht="14.25" hidden="1" customHeight="1" x14ac:dyDescent="0.25">
      <c r="A175" s="328" t="s">
        <v>43</v>
      </c>
      <c r="B175" s="566">
        <v>0.05</v>
      </c>
      <c r="C175" s="346" t="s">
        <v>34</v>
      </c>
      <c r="D175" s="346" t="s">
        <v>34</v>
      </c>
      <c r="G175" s="284" t="s">
        <v>349</v>
      </c>
      <c r="H175" s="387">
        <v>10.272</v>
      </c>
      <c r="J175" s="284">
        <v>10.036</v>
      </c>
      <c r="M175" s="387">
        <v>13.071999999999999</v>
      </c>
      <c r="O175" s="284">
        <v>10.35</v>
      </c>
      <c r="P175" s="284">
        <v>8.43</v>
      </c>
    </row>
    <row r="176" spans="1:16" ht="14.25" hidden="1" customHeight="1" x14ac:dyDescent="0.25">
      <c r="A176" s="328" t="s">
        <v>236</v>
      </c>
      <c r="B176" s="566">
        <v>1.05</v>
      </c>
      <c r="C176" s="346" t="s">
        <v>6</v>
      </c>
      <c r="D176" s="346" t="s">
        <v>6</v>
      </c>
      <c r="G176" s="284" t="s">
        <v>347</v>
      </c>
      <c r="H176" s="387">
        <v>58.627000000000002</v>
      </c>
    </row>
    <row r="177" spans="1:16" ht="14.25" hidden="1" customHeight="1" x14ac:dyDescent="0.25">
      <c r="A177" s="962" t="s">
        <v>248</v>
      </c>
      <c r="B177" s="963"/>
      <c r="C177" s="963"/>
      <c r="D177" s="964"/>
      <c r="G177" s="284" t="s">
        <v>348</v>
      </c>
      <c r="H177" s="387">
        <v>114.124</v>
      </c>
    </row>
    <row r="178" spans="1:16" ht="14.25" hidden="1" customHeight="1" x14ac:dyDescent="0.25">
      <c r="A178" s="328" t="s">
        <v>336</v>
      </c>
      <c r="B178" s="569">
        <v>5</v>
      </c>
      <c r="C178" s="347" t="s">
        <v>25</v>
      </c>
      <c r="D178" s="347" t="s">
        <v>25</v>
      </c>
      <c r="G178" s="284" t="s">
        <v>341</v>
      </c>
      <c r="H178" s="387">
        <f>SUM(H176+H177)</f>
        <v>172.751</v>
      </c>
      <c r="J178" s="284">
        <f>316.61/2</f>
        <v>158.30500000000001</v>
      </c>
      <c r="M178" s="387">
        <v>192.36699999999999</v>
      </c>
      <c r="O178" s="284">
        <v>213.7</v>
      </c>
      <c r="P178" s="284">
        <v>114.124</v>
      </c>
    </row>
    <row r="179" spans="1:16" ht="14.25" hidden="1" customHeight="1" x14ac:dyDescent="0.25">
      <c r="A179" s="328" t="s">
        <v>335</v>
      </c>
      <c r="B179" s="559">
        <v>2</v>
      </c>
      <c r="C179" s="327" t="s">
        <v>40</v>
      </c>
      <c r="D179" s="327" t="s">
        <v>40</v>
      </c>
    </row>
    <row r="180" spans="1:16" ht="14.25" hidden="1" customHeight="1" x14ac:dyDescent="0.25">
      <c r="A180" s="348" t="s">
        <v>62</v>
      </c>
      <c r="B180" s="559">
        <v>1</v>
      </c>
      <c r="C180" s="327" t="s">
        <v>6</v>
      </c>
      <c r="D180" s="327" t="s">
        <v>6</v>
      </c>
      <c r="G180" s="284" t="s">
        <v>342</v>
      </c>
      <c r="H180" s="387">
        <v>1.696</v>
      </c>
      <c r="J180" s="284">
        <f>H180</f>
        <v>1.696</v>
      </c>
    </row>
    <row r="181" spans="1:16" ht="14.25" hidden="1" customHeight="1" x14ac:dyDescent="0.25">
      <c r="A181" s="962" t="s">
        <v>137</v>
      </c>
      <c r="B181" s="966"/>
      <c r="C181" s="966"/>
      <c r="D181" s="967"/>
      <c r="G181" s="284" t="s">
        <v>343</v>
      </c>
      <c r="H181" s="387">
        <v>2.9239999999999999</v>
      </c>
      <c r="J181" s="284">
        <f>H181</f>
        <v>2.9239999999999999</v>
      </c>
      <c r="M181" s="387">
        <f>H181*2</f>
        <v>5.8479999999999999</v>
      </c>
      <c r="O181" s="284">
        <v>5.8479999999999999</v>
      </c>
      <c r="P181" s="284">
        <v>2.9239999999999999</v>
      </c>
    </row>
    <row r="182" spans="1:16" ht="14.25" hidden="1" customHeight="1" x14ac:dyDescent="0.25">
      <c r="A182" s="328" t="s">
        <v>139</v>
      </c>
      <c r="B182" s="566">
        <v>1</v>
      </c>
      <c r="C182" s="346" t="s">
        <v>6</v>
      </c>
      <c r="D182" s="346" t="s">
        <v>6</v>
      </c>
    </row>
    <row r="183" spans="1:16" ht="14.25" hidden="1" customHeight="1" x14ac:dyDescent="0.25">
      <c r="A183" s="328" t="s">
        <v>140</v>
      </c>
      <c r="B183" s="566">
        <v>1</v>
      </c>
      <c r="C183" s="346" t="s">
        <v>6</v>
      </c>
      <c r="D183" s="346" t="s">
        <v>6</v>
      </c>
    </row>
    <row r="184" spans="1:16" ht="14.25" hidden="1" customHeight="1" x14ac:dyDescent="0.25">
      <c r="A184" s="328" t="s">
        <v>145</v>
      </c>
      <c r="B184" s="566">
        <v>0.14000000000000001</v>
      </c>
      <c r="C184" s="346" t="s">
        <v>34</v>
      </c>
      <c r="D184" s="346" t="s">
        <v>34</v>
      </c>
    </row>
    <row r="185" spans="1:16" ht="14.25" hidden="1" customHeight="1" x14ac:dyDescent="0.25">
      <c r="A185" s="328" t="s">
        <v>250</v>
      </c>
      <c r="B185" s="566">
        <v>1</v>
      </c>
      <c r="C185" s="346" t="s">
        <v>6</v>
      </c>
      <c r="D185" s="346" t="s">
        <v>6</v>
      </c>
    </row>
    <row r="186" spans="1:16" ht="14.25" hidden="1" customHeight="1" x14ac:dyDescent="0.25">
      <c r="A186" s="328" t="s">
        <v>69</v>
      </c>
      <c r="B186" s="566">
        <v>4</v>
      </c>
      <c r="C186" s="346" t="s">
        <v>34</v>
      </c>
      <c r="D186" s="346" t="s">
        <v>34</v>
      </c>
    </row>
    <row r="187" spans="1:16" ht="14.25" hidden="1" customHeight="1" x14ac:dyDescent="0.25">
      <c r="A187" s="328" t="s">
        <v>74</v>
      </c>
      <c r="B187" s="568">
        <v>0.39</v>
      </c>
      <c r="C187" s="346" t="s">
        <v>34</v>
      </c>
      <c r="D187" s="346" t="s">
        <v>34</v>
      </c>
    </row>
    <row r="188" spans="1:16" ht="14.25" hidden="1" customHeight="1" x14ac:dyDescent="0.25">
      <c r="A188" s="962" t="s">
        <v>28</v>
      </c>
      <c r="B188" s="963"/>
      <c r="C188" s="963"/>
      <c r="D188" s="964"/>
    </row>
    <row r="189" spans="1:16" ht="14.25" hidden="1" customHeight="1" x14ac:dyDescent="0.25">
      <c r="A189" s="328" t="s">
        <v>33</v>
      </c>
      <c r="B189" s="566">
        <v>0.66</v>
      </c>
      <c r="C189" s="346" t="s">
        <v>35</v>
      </c>
      <c r="D189" s="346" t="s">
        <v>35</v>
      </c>
      <c r="E189" s="323" t="s">
        <v>345</v>
      </c>
    </row>
    <row r="190" spans="1:16" ht="14.25" hidden="1" customHeight="1" x14ac:dyDescent="0.25">
      <c r="A190" s="328" t="s">
        <v>36</v>
      </c>
      <c r="B190" s="566">
        <v>0.08</v>
      </c>
      <c r="C190" s="346" t="s">
        <v>35</v>
      </c>
      <c r="D190" s="346" t="s">
        <v>35</v>
      </c>
    </row>
    <row r="191" spans="1:16" ht="14.25" hidden="1" customHeight="1" x14ac:dyDescent="0.25">
      <c r="A191" s="338" t="s">
        <v>38</v>
      </c>
      <c r="B191" s="569">
        <v>0.1</v>
      </c>
      <c r="C191" s="347" t="s">
        <v>35</v>
      </c>
      <c r="D191" s="347" t="s">
        <v>35</v>
      </c>
      <c r="E191" s="323" t="s">
        <v>344</v>
      </c>
    </row>
    <row r="192" spans="1:16" ht="14.25" hidden="1" customHeight="1" x14ac:dyDescent="0.25">
      <c r="A192" s="339" t="s">
        <v>75</v>
      </c>
      <c r="B192" s="559">
        <v>0.25</v>
      </c>
      <c r="C192" s="327" t="s">
        <v>35</v>
      </c>
      <c r="D192" s="327" t="s">
        <v>35</v>
      </c>
    </row>
    <row r="193" spans="1:4" ht="14.25" hidden="1" customHeight="1" x14ac:dyDescent="0.25">
      <c r="A193" s="341"/>
      <c r="C193" s="349"/>
      <c r="D193" s="349"/>
    </row>
    <row r="194" spans="1:4" ht="14.25" hidden="1" customHeight="1" x14ac:dyDescent="0.25"/>
    <row r="195" spans="1:4" ht="14.25" hidden="1" customHeight="1" x14ac:dyDescent="0.25"/>
    <row r="196" spans="1:4" ht="14.25" hidden="1" customHeight="1" x14ac:dyDescent="0.25"/>
    <row r="197" spans="1:4" ht="14.25" customHeight="1" x14ac:dyDescent="0.25"/>
    <row r="198" spans="1:4" ht="14.25" customHeight="1" x14ac:dyDescent="0.25"/>
    <row r="199" spans="1:4" ht="14.25" customHeight="1" x14ac:dyDescent="0.25"/>
    <row r="200" spans="1:4" ht="14.25" customHeight="1" x14ac:dyDescent="0.25"/>
    <row r="201" spans="1:4" ht="14.25" customHeight="1" x14ac:dyDescent="0.25"/>
    <row r="202" spans="1:4" ht="14.25" customHeight="1" x14ac:dyDescent="0.25"/>
    <row r="203" spans="1:4" ht="14.25" customHeight="1" x14ac:dyDescent="0.25"/>
    <row r="204" spans="1:4" ht="14.25" customHeight="1" x14ac:dyDescent="0.25"/>
    <row r="205" spans="1:4" ht="14.25" customHeight="1" x14ac:dyDescent="0.25"/>
    <row r="206" spans="1:4" ht="14.25" customHeight="1" x14ac:dyDescent="0.25"/>
    <row r="207" spans="1:4" ht="14.25" customHeight="1" x14ac:dyDescent="0.25"/>
    <row r="208" spans="1:4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  <row r="1004" ht="14.25" customHeight="1" x14ac:dyDescent="0.25"/>
    <row r="1005" ht="14.25" customHeight="1" x14ac:dyDescent="0.25"/>
    <row r="1006" ht="14.25" customHeight="1" x14ac:dyDescent="0.25"/>
    <row r="1007" ht="14.25" customHeight="1" x14ac:dyDescent="0.25"/>
    <row r="1008" ht="14.25" customHeight="1" x14ac:dyDescent="0.25"/>
    <row r="1009" ht="14.25" customHeight="1" x14ac:dyDescent="0.25"/>
    <row r="1010" ht="14.25" customHeight="1" x14ac:dyDescent="0.25"/>
    <row r="1011" ht="14.25" customHeight="1" x14ac:dyDescent="0.25"/>
    <row r="1012" ht="14.25" customHeight="1" x14ac:dyDescent="0.25"/>
    <row r="1013" ht="14.25" customHeight="1" x14ac:dyDescent="0.25"/>
  </sheetData>
  <mergeCells count="16">
    <mergeCell ref="V141:X141"/>
    <mergeCell ref="A161:D161"/>
    <mergeCell ref="A169:D169"/>
    <mergeCell ref="A177:D177"/>
    <mergeCell ref="A181:D181"/>
    <mergeCell ref="A188:D188"/>
    <mergeCell ref="A140:D140"/>
    <mergeCell ref="G140:I140"/>
    <mergeCell ref="L140:N140"/>
    <mergeCell ref="Q140:S140"/>
    <mergeCell ref="A1:A2"/>
    <mergeCell ref="H1:I1"/>
    <mergeCell ref="M1:N1"/>
    <mergeCell ref="R1:S1"/>
    <mergeCell ref="W1:X1"/>
    <mergeCell ref="B1:D1"/>
  </mergeCells>
  <pageMargins left="0.7" right="0.7" top="0.75" bottom="0.75" header="0" footer="0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66B53-B5F8-4639-B95C-3FD39F36893E}">
  <dimension ref="A1:M53"/>
  <sheetViews>
    <sheetView workbookViewId="0">
      <pane ySplit="1" topLeftCell="A2" activePane="bottomLeft" state="frozen"/>
      <selection pane="bottomLeft" activeCell="H40" sqref="A1:H40"/>
    </sheetView>
  </sheetViews>
  <sheetFormatPr baseColWidth="10" defaultRowHeight="13.8" x14ac:dyDescent="0.25"/>
  <cols>
    <col min="1" max="1" width="53" bestFit="1" customWidth="1"/>
    <col min="2" max="2" width="9.09765625" bestFit="1" customWidth="1"/>
    <col min="3" max="3" width="12.59765625" bestFit="1" customWidth="1"/>
    <col min="4" max="4" width="12.69921875" customWidth="1"/>
    <col min="5" max="5" width="13.69921875" hidden="1" customWidth="1"/>
    <col min="6" max="6" width="12.09765625" customWidth="1"/>
    <col min="7" max="7" width="11.69921875" customWidth="1"/>
    <col min="8" max="8" width="10.69921875" customWidth="1"/>
    <col min="9" max="9" width="11.69921875" bestFit="1" customWidth="1"/>
    <col min="10" max="10" width="11.19921875" customWidth="1"/>
  </cols>
  <sheetData>
    <row r="1" spans="1:13" ht="34.5" customHeight="1" x14ac:dyDescent="0.25">
      <c r="A1" s="573" t="s">
        <v>776</v>
      </c>
      <c r="B1" s="570" t="s">
        <v>20</v>
      </c>
      <c r="C1" s="571" t="s">
        <v>591</v>
      </c>
      <c r="D1" s="571" t="s">
        <v>592</v>
      </c>
      <c r="E1" s="571" t="s">
        <v>593</v>
      </c>
      <c r="F1" s="571" t="s">
        <v>594</v>
      </c>
      <c r="G1" s="572" t="s">
        <v>605</v>
      </c>
      <c r="H1" s="572" t="s">
        <v>604</v>
      </c>
    </row>
    <row r="2" spans="1:13" ht="17.25" customHeight="1" x14ac:dyDescent="0.25">
      <c r="A2" s="282" t="s">
        <v>556</v>
      </c>
      <c r="B2" s="278">
        <v>1</v>
      </c>
      <c r="C2" s="278">
        <v>0.375</v>
      </c>
      <c r="D2" s="278">
        <f>B2*C2</f>
        <v>0.375</v>
      </c>
      <c r="E2" s="278">
        <v>0.85</v>
      </c>
      <c r="F2" s="574">
        <f>D2*E2</f>
        <v>0.31874999999999998</v>
      </c>
      <c r="G2" s="278">
        <v>3.66</v>
      </c>
      <c r="H2" s="574">
        <f t="shared" ref="H2:H39" si="0">F2*G2</f>
        <v>1.166625</v>
      </c>
      <c r="J2" s="286"/>
      <c r="M2" s="283"/>
    </row>
    <row r="3" spans="1:13" x14ac:dyDescent="0.25">
      <c r="A3" s="282" t="s">
        <v>554</v>
      </c>
      <c r="B3" s="278">
        <v>1</v>
      </c>
      <c r="C3" s="278">
        <v>0.75</v>
      </c>
      <c r="D3" s="278">
        <f t="shared" ref="D3:D39" si="1">B3*C3</f>
        <v>0.75</v>
      </c>
      <c r="E3" s="278">
        <v>0.85</v>
      </c>
      <c r="F3" s="574">
        <f t="shared" ref="F3:F39" si="2">D3*E3</f>
        <v>0.63749999999999996</v>
      </c>
      <c r="G3" s="278">
        <v>0.2</v>
      </c>
      <c r="H3" s="574">
        <f t="shared" si="0"/>
        <v>0.1275</v>
      </c>
      <c r="L3" s="284"/>
    </row>
    <row r="4" spans="1:13" x14ac:dyDescent="0.25">
      <c r="A4" s="282" t="s">
        <v>504</v>
      </c>
      <c r="B4" s="278">
        <v>1</v>
      </c>
      <c r="C4" s="278">
        <v>1.0999999999999999E-2</v>
      </c>
      <c r="D4" s="278">
        <f t="shared" si="1"/>
        <v>1.0999999999999999E-2</v>
      </c>
      <c r="E4" s="278">
        <v>0.85</v>
      </c>
      <c r="F4" s="574">
        <f t="shared" si="2"/>
        <v>9.3499999999999989E-3</v>
      </c>
      <c r="G4" s="278">
        <v>22</v>
      </c>
      <c r="H4" s="574">
        <f t="shared" si="0"/>
        <v>0.20569999999999997</v>
      </c>
    </row>
    <row r="5" spans="1:13" x14ac:dyDescent="0.25">
      <c r="A5" s="282" t="s">
        <v>563</v>
      </c>
      <c r="B5" s="278">
        <v>1</v>
      </c>
      <c r="C5" s="278">
        <v>8</v>
      </c>
      <c r="D5" s="278">
        <f t="shared" si="1"/>
        <v>8</v>
      </c>
      <c r="E5" s="278">
        <v>0.85</v>
      </c>
      <c r="F5" s="574">
        <f t="shared" si="2"/>
        <v>6.8</v>
      </c>
      <c r="G5" s="278">
        <v>0.2</v>
      </c>
      <c r="H5" s="574">
        <f t="shared" si="0"/>
        <v>1.36</v>
      </c>
    </row>
    <row r="6" spans="1:13" x14ac:dyDescent="0.25">
      <c r="A6" s="282" t="s">
        <v>561</v>
      </c>
      <c r="B6" s="278">
        <v>2</v>
      </c>
      <c r="C6" s="278">
        <v>2.5</v>
      </c>
      <c r="D6" s="278">
        <f t="shared" si="1"/>
        <v>5</v>
      </c>
      <c r="E6" s="278">
        <v>0.85</v>
      </c>
      <c r="F6" s="574">
        <f t="shared" si="2"/>
        <v>4.25</v>
      </c>
      <c r="G6" s="278">
        <v>0.53</v>
      </c>
      <c r="H6" s="574">
        <f t="shared" si="0"/>
        <v>2.2524999999999999</v>
      </c>
    </row>
    <row r="7" spans="1:13" x14ac:dyDescent="0.25">
      <c r="A7" s="282" t="s">
        <v>506</v>
      </c>
      <c r="B7" s="278">
        <v>2</v>
      </c>
      <c r="C7" s="278">
        <v>4.5</v>
      </c>
      <c r="D7" s="278">
        <f t="shared" si="1"/>
        <v>9</v>
      </c>
      <c r="E7" s="278">
        <v>0.85</v>
      </c>
      <c r="F7" s="574">
        <f t="shared" si="2"/>
        <v>7.6499999999999995</v>
      </c>
      <c r="G7" s="278">
        <v>0.53</v>
      </c>
      <c r="H7" s="574">
        <f t="shared" si="0"/>
        <v>4.0545</v>
      </c>
    </row>
    <row r="8" spans="1:13" x14ac:dyDescent="0.25">
      <c r="A8" s="282" t="s">
        <v>600</v>
      </c>
      <c r="B8" s="278">
        <v>1</v>
      </c>
      <c r="C8" s="278">
        <v>3</v>
      </c>
      <c r="D8" s="278">
        <f t="shared" si="1"/>
        <v>3</v>
      </c>
      <c r="E8" s="278">
        <v>0.85</v>
      </c>
      <c r="F8" s="574">
        <f t="shared" si="2"/>
        <v>2.5499999999999998</v>
      </c>
      <c r="G8" s="278">
        <v>4</v>
      </c>
      <c r="H8" s="574">
        <f t="shared" si="0"/>
        <v>10.199999999999999</v>
      </c>
    </row>
    <row r="9" spans="1:13" x14ac:dyDescent="0.25">
      <c r="A9" s="282" t="s">
        <v>606</v>
      </c>
      <c r="B9" s="278">
        <v>1</v>
      </c>
      <c r="C9" s="278">
        <v>3.34</v>
      </c>
      <c r="D9" s="278">
        <f t="shared" si="1"/>
        <v>3.34</v>
      </c>
      <c r="E9" s="278">
        <v>0.85</v>
      </c>
      <c r="F9" s="574">
        <f t="shared" si="2"/>
        <v>2.839</v>
      </c>
      <c r="G9" s="278">
        <v>3</v>
      </c>
      <c r="H9" s="574">
        <f t="shared" si="0"/>
        <v>8.5169999999999995</v>
      </c>
    </row>
    <row r="10" spans="1:13" x14ac:dyDescent="0.25">
      <c r="A10" s="282" t="s">
        <v>607</v>
      </c>
      <c r="B10" s="278">
        <v>1</v>
      </c>
      <c r="C10" s="278">
        <v>15</v>
      </c>
      <c r="D10" s="278">
        <f t="shared" si="1"/>
        <v>15</v>
      </c>
      <c r="E10" s="278">
        <v>0.85</v>
      </c>
      <c r="F10" s="574">
        <f t="shared" si="2"/>
        <v>12.75</v>
      </c>
      <c r="G10" s="278">
        <v>2</v>
      </c>
      <c r="H10" s="574">
        <f t="shared" si="0"/>
        <v>25.5</v>
      </c>
    </row>
    <row r="11" spans="1:13" x14ac:dyDescent="0.25">
      <c r="A11" s="282" t="s">
        <v>507</v>
      </c>
      <c r="B11" s="278">
        <v>1</v>
      </c>
      <c r="C11" s="278">
        <v>2</v>
      </c>
      <c r="D11" s="278">
        <f t="shared" si="1"/>
        <v>2</v>
      </c>
      <c r="E11" s="278">
        <v>0.85</v>
      </c>
      <c r="F11" s="574">
        <f t="shared" si="2"/>
        <v>1.7</v>
      </c>
      <c r="G11" s="278">
        <v>7</v>
      </c>
      <c r="H11" s="574">
        <f t="shared" si="0"/>
        <v>11.9</v>
      </c>
    </row>
    <row r="12" spans="1:13" x14ac:dyDescent="0.25">
      <c r="A12" s="282" t="s">
        <v>598</v>
      </c>
      <c r="B12" s="278">
        <v>3</v>
      </c>
      <c r="C12" s="278">
        <v>0.14000000000000001</v>
      </c>
      <c r="D12" s="278">
        <f t="shared" si="1"/>
        <v>0.42000000000000004</v>
      </c>
      <c r="E12" s="278">
        <v>0.85</v>
      </c>
      <c r="F12" s="574">
        <f t="shared" si="2"/>
        <v>0.35700000000000004</v>
      </c>
      <c r="G12" s="278">
        <v>10</v>
      </c>
      <c r="H12" s="574">
        <f t="shared" si="0"/>
        <v>3.5700000000000003</v>
      </c>
    </row>
    <row r="13" spans="1:13" x14ac:dyDescent="0.25">
      <c r="A13" s="282" t="s">
        <v>509</v>
      </c>
      <c r="B13" s="278">
        <v>1</v>
      </c>
      <c r="C13" s="278">
        <v>2</v>
      </c>
      <c r="D13" s="278">
        <f t="shared" si="1"/>
        <v>2</v>
      </c>
      <c r="E13" s="278">
        <v>0.85</v>
      </c>
      <c r="F13" s="574">
        <f t="shared" si="2"/>
        <v>1.7</v>
      </c>
      <c r="G13" s="278">
        <v>3</v>
      </c>
      <c r="H13" s="574">
        <f t="shared" si="0"/>
        <v>5.0999999999999996</v>
      </c>
    </row>
    <row r="14" spans="1:13" x14ac:dyDescent="0.25">
      <c r="A14" s="282" t="s">
        <v>510</v>
      </c>
      <c r="B14" s="278">
        <v>2</v>
      </c>
      <c r="C14" s="278">
        <v>0.85</v>
      </c>
      <c r="D14" s="278">
        <f t="shared" si="1"/>
        <v>1.7</v>
      </c>
      <c r="E14" s="278">
        <v>0.85</v>
      </c>
      <c r="F14" s="574">
        <f t="shared" si="2"/>
        <v>1.4449999999999998</v>
      </c>
      <c r="G14" s="278">
        <v>10</v>
      </c>
      <c r="H14" s="574">
        <f t="shared" si="0"/>
        <v>14.45</v>
      </c>
    </row>
    <row r="15" spans="1:13" x14ac:dyDescent="0.25">
      <c r="A15" s="282" t="s">
        <v>512</v>
      </c>
      <c r="B15" s="278">
        <v>2</v>
      </c>
      <c r="C15" s="278">
        <v>1.5</v>
      </c>
      <c r="D15" s="278">
        <f t="shared" si="1"/>
        <v>3</v>
      </c>
      <c r="E15" s="278">
        <v>0.85</v>
      </c>
      <c r="F15" s="574">
        <f t="shared" si="2"/>
        <v>2.5499999999999998</v>
      </c>
      <c r="G15" s="278">
        <v>10</v>
      </c>
      <c r="H15" s="574">
        <f t="shared" si="0"/>
        <v>25.5</v>
      </c>
    </row>
    <row r="16" spans="1:13" x14ac:dyDescent="0.25">
      <c r="A16" s="282" t="s">
        <v>599</v>
      </c>
      <c r="B16" s="278">
        <v>3</v>
      </c>
      <c r="C16" s="278">
        <v>0.18</v>
      </c>
      <c r="D16" s="278">
        <f t="shared" si="1"/>
        <v>0.54</v>
      </c>
      <c r="E16" s="278">
        <v>0.85</v>
      </c>
      <c r="F16" s="574">
        <f t="shared" si="2"/>
        <v>0.45900000000000002</v>
      </c>
      <c r="G16" s="278">
        <v>3</v>
      </c>
      <c r="H16" s="574">
        <f t="shared" si="0"/>
        <v>1.377</v>
      </c>
    </row>
    <row r="17" spans="1:8" x14ac:dyDescent="0.25">
      <c r="A17" s="282" t="s">
        <v>513</v>
      </c>
      <c r="B17" s="278">
        <v>1</v>
      </c>
      <c r="C17" s="278">
        <v>1.4</v>
      </c>
      <c r="D17" s="278">
        <f t="shared" si="1"/>
        <v>1.4</v>
      </c>
      <c r="E17" s="278">
        <v>0.85</v>
      </c>
      <c r="F17" s="574">
        <f t="shared" si="2"/>
        <v>1.19</v>
      </c>
      <c r="G17" s="278">
        <v>2</v>
      </c>
      <c r="H17" s="574">
        <f t="shared" si="0"/>
        <v>2.38</v>
      </c>
    </row>
    <row r="18" spans="1:8" x14ac:dyDescent="0.25">
      <c r="A18" s="282" t="s">
        <v>521</v>
      </c>
      <c r="B18" s="278">
        <v>1</v>
      </c>
      <c r="C18" s="278">
        <v>4.8099999999999996</v>
      </c>
      <c r="D18" s="278">
        <f t="shared" si="1"/>
        <v>4.8099999999999996</v>
      </c>
      <c r="E18" s="278">
        <v>0.85</v>
      </c>
      <c r="F18" s="574">
        <f t="shared" si="2"/>
        <v>4.0884999999999998</v>
      </c>
      <c r="G18" s="278">
        <v>67.5</v>
      </c>
      <c r="H18" s="574">
        <f t="shared" si="0"/>
        <v>275.97375</v>
      </c>
    </row>
    <row r="19" spans="1:8" x14ac:dyDescent="0.25">
      <c r="A19" s="282" t="s">
        <v>522</v>
      </c>
      <c r="B19" s="278">
        <v>4</v>
      </c>
      <c r="C19" s="278">
        <v>0.42</v>
      </c>
      <c r="D19" s="278">
        <f t="shared" si="1"/>
        <v>1.68</v>
      </c>
      <c r="E19" s="278">
        <v>0.85</v>
      </c>
      <c r="F19" s="574">
        <f t="shared" si="2"/>
        <v>1.4279999999999999</v>
      </c>
      <c r="G19" s="278">
        <v>198</v>
      </c>
      <c r="H19" s="574">
        <f t="shared" si="0"/>
        <v>282.74399999999997</v>
      </c>
    </row>
    <row r="20" spans="1:8" x14ac:dyDescent="0.25">
      <c r="A20" s="282" t="s">
        <v>523</v>
      </c>
      <c r="B20" s="278">
        <v>2</v>
      </c>
      <c r="C20" s="278">
        <v>2.1999999999999999E-2</v>
      </c>
      <c r="D20" s="278">
        <f t="shared" si="1"/>
        <v>4.3999999999999997E-2</v>
      </c>
      <c r="E20" s="278">
        <v>0.85</v>
      </c>
      <c r="F20" s="574">
        <f t="shared" si="2"/>
        <v>3.7399999999999996E-2</v>
      </c>
      <c r="G20" s="278">
        <v>88</v>
      </c>
      <c r="H20" s="574">
        <f t="shared" si="0"/>
        <v>3.2911999999999995</v>
      </c>
    </row>
    <row r="21" spans="1:8" x14ac:dyDescent="0.25">
      <c r="A21" s="282" t="s">
        <v>517</v>
      </c>
      <c r="B21" s="278">
        <v>3</v>
      </c>
      <c r="C21" s="278">
        <v>0.92</v>
      </c>
      <c r="D21" s="278">
        <f t="shared" si="1"/>
        <v>2.7600000000000002</v>
      </c>
      <c r="E21" s="278">
        <v>0.85</v>
      </c>
      <c r="F21" s="574">
        <f t="shared" si="2"/>
        <v>2.3460000000000001</v>
      </c>
      <c r="G21" s="278">
        <v>11</v>
      </c>
      <c r="H21" s="574">
        <f t="shared" si="0"/>
        <v>25.806000000000001</v>
      </c>
    </row>
    <row r="22" spans="1:8" x14ac:dyDescent="0.25">
      <c r="A22" s="282" t="s">
        <v>518</v>
      </c>
      <c r="B22" s="278">
        <v>1</v>
      </c>
      <c r="C22" s="278">
        <v>1.2E-2</v>
      </c>
      <c r="D22" s="278">
        <f t="shared" si="1"/>
        <v>1.2E-2</v>
      </c>
      <c r="E22" s="278">
        <v>0.85</v>
      </c>
      <c r="F22" s="574">
        <f t="shared" si="2"/>
        <v>1.0200000000000001E-2</v>
      </c>
      <c r="G22" s="278">
        <v>88</v>
      </c>
      <c r="H22" s="574">
        <f t="shared" si="0"/>
        <v>0.89760000000000006</v>
      </c>
    </row>
    <row r="23" spans="1:8" x14ac:dyDescent="0.25">
      <c r="A23" s="282" t="s">
        <v>519</v>
      </c>
      <c r="B23" s="278">
        <v>1</v>
      </c>
      <c r="C23" s="278">
        <v>0.25</v>
      </c>
      <c r="D23" s="278">
        <f t="shared" si="1"/>
        <v>0.25</v>
      </c>
      <c r="E23" s="278">
        <v>0.85</v>
      </c>
      <c r="F23" s="574">
        <f t="shared" si="2"/>
        <v>0.21249999999999999</v>
      </c>
      <c r="G23" s="278">
        <v>3</v>
      </c>
      <c r="H23" s="574">
        <f t="shared" si="0"/>
        <v>0.63749999999999996</v>
      </c>
    </row>
    <row r="24" spans="1:8" x14ac:dyDescent="0.25">
      <c r="A24" s="282" t="s">
        <v>520</v>
      </c>
      <c r="B24" s="278">
        <v>1</v>
      </c>
      <c r="C24" s="278">
        <v>0.5</v>
      </c>
      <c r="D24" s="278">
        <f t="shared" si="1"/>
        <v>0.5</v>
      </c>
      <c r="E24" s="278">
        <v>0.85</v>
      </c>
      <c r="F24" s="574">
        <f t="shared" si="2"/>
        <v>0.42499999999999999</v>
      </c>
      <c r="G24" s="278">
        <v>44</v>
      </c>
      <c r="H24" s="574">
        <f t="shared" si="0"/>
        <v>18.7</v>
      </c>
    </row>
    <row r="25" spans="1:8" x14ac:dyDescent="0.25">
      <c r="A25" s="282" t="s">
        <v>524</v>
      </c>
      <c r="B25" s="278">
        <v>3</v>
      </c>
      <c r="C25" s="278">
        <v>0.12</v>
      </c>
      <c r="D25" s="278">
        <f t="shared" si="1"/>
        <v>0.36</v>
      </c>
      <c r="E25" s="278">
        <v>0.85</v>
      </c>
      <c r="F25" s="574">
        <f t="shared" si="2"/>
        <v>0.30599999999999999</v>
      </c>
      <c r="G25" s="278">
        <v>2</v>
      </c>
      <c r="H25" s="574">
        <f t="shared" si="0"/>
        <v>0.61199999999999999</v>
      </c>
    </row>
    <row r="26" spans="1:8" x14ac:dyDescent="0.25">
      <c r="A26" s="282" t="s">
        <v>525</v>
      </c>
      <c r="B26" s="278">
        <v>2</v>
      </c>
      <c r="C26" s="278">
        <v>1.5</v>
      </c>
      <c r="D26" s="278">
        <f t="shared" si="1"/>
        <v>3</v>
      </c>
      <c r="E26" s="278">
        <v>0.85</v>
      </c>
      <c r="F26" s="574">
        <f t="shared" si="2"/>
        <v>2.5499999999999998</v>
      </c>
      <c r="G26" s="278">
        <v>2</v>
      </c>
      <c r="H26" s="574">
        <f t="shared" si="0"/>
        <v>5.0999999999999996</v>
      </c>
    </row>
    <row r="27" spans="1:8" x14ac:dyDescent="0.25">
      <c r="A27" s="282" t="s">
        <v>526</v>
      </c>
      <c r="B27" s="278">
        <v>1</v>
      </c>
      <c r="C27" s="278">
        <v>0.03</v>
      </c>
      <c r="D27" s="278">
        <f t="shared" si="1"/>
        <v>0.03</v>
      </c>
      <c r="E27" s="278">
        <v>0.85</v>
      </c>
      <c r="F27" s="574">
        <f t="shared" si="2"/>
        <v>2.5499999999999998E-2</v>
      </c>
      <c r="G27" s="278">
        <v>180</v>
      </c>
      <c r="H27" s="574">
        <f t="shared" si="0"/>
        <v>4.59</v>
      </c>
    </row>
    <row r="28" spans="1:8" x14ac:dyDescent="0.25">
      <c r="A28" s="282" t="s">
        <v>532</v>
      </c>
      <c r="B28" s="278">
        <v>2</v>
      </c>
      <c r="C28" s="278">
        <v>0.64</v>
      </c>
      <c r="D28" s="278">
        <f t="shared" si="1"/>
        <v>1.28</v>
      </c>
      <c r="E28" s="278">
        <v>0.85</v>
      </c>
      <c r="F28" s="574">
        <f t="shared" si="2"/>
        <v>1.0880000000000001</v>
      </c>
      <c r="G28" s="278">
        <v>11</v>
      </c>
      <c r="H28" s="574">
        <f t="shared" si="0"/>
        <v>11.968</v>
      </c>
    </row>
    <row r="29" spans="1:8" x14ac:dyDescent="0.25">
      <c r="A29" s="282" t="s">
        <v>533</v>
      </c>
      <c r="B29" s="278">
        <v>2</v>
      </c>
      <c r="C29" s="278">
        <v>2</v>
      </c>
      <c r="D29" s="278">
        <f t="shared" si="1"/>
        <v>4</v>
      </c>
      <c r="E29" s="278">
        <v>0.85</v>
      </c>
      <c r="F29" s="574">
        <f t="shared" si="2"/>
        <v>3.4</v>
      </c>
      <c r="G29" s="278">
        <v>5.5</v>
      </c>
      <c r="H29" s="574">
        <f t="shared" si="0"/>
        <v>18.7</v>
      </c>
    </row>
    <row r="30" spans="1:8" x14ac:dyDescent="0.25">
      <c r="A30" s="282" t="s">
        <v>534</v>
      </c>
      <c r="B30" s="278">
        <v>1</v>
      </c>
      <c r="C30" s="278">
        <v>0.9</v>
      </c>
      <c r="D30" s="278">
        <f t="shared" si="1"/>
        <v>0.9</v>
      </c>
      <c r="E30" s="278">
        <v>0.85</v>
      </c>
      <c r="F30" s="574">
        <f t="shared" si="2"/>
        <v>0.76500000000000001</v>
      </c>
      <c r="G30" s="278">
        <v>5.5</v>
      </c>
      <c r="H30" s="574">
        <f t="shared" si="0"/>
        <v>4.2075000000000005</v>
      </c>
    </row>
    <row r="31" spans="1:8" x14ac:dyDescent="0.25">
      <c r="A31" s="282" t="s">
        <v>535</v>
      </c>
      <c r="B31" s="278">
        <v>1</v>
      </c>
      <c r="C31" s="278">
        <v>0.7</v>
      </c>
      <c r="D31" s="278">
        <f t="shared" si="1"/>
        <v>0.7</v>
      </c>
      <c r="E31" s="278">
        <v>0.85</v>
      </c>
      <c r="F31" s="574">
        <f t="shared" si="2"/>
        <v>0.59499999999999997</v>
      </c>
      <c r="G31" s="278">
        <v>16.5</v>
      </c>
      <c r="H31" s="574">
        <f t="shared" si="0"/>
        <v>9.817499999999999</v>
      </c>
    </row>
    <row r="32" spans="1:8" x14ac:dyDescent="0.25">
      <c r="A32" s="282" t="s">
        <v>536</v>
      </c>
      <c r="B32" s="278">
        <v>1</v>
      </c>
      <c r="C32" s="278">
        <v>1.2</v>
      </c>
      <c r="D32" s="278">
        <f t="shared" si="1"/>
        <v>1.2</v>
      </c>
      <c r="E32" s="278">
        <v>0.85</v>
      </c>
      <c r="F32" s="574">
        <f t="shared" si="2"/>
        <v>1.02</v>
      </c>
      <c r="G32" s="278">
        <v>16.5</v>
      </c>
      <c r="H32" s="574">
        <f t="shared" si="0"/>
        <v>16.830000000000002</v>
      </c>
    </row>
    <row r="33" spans="1:8" x14ac:dyDescent="0.25">
      <c r="A33" s="282" t="s">
        <v>537</v>
      </c>
      <c r="B33" s="278">
        <v>1</v>
      </c>
      <c r="C33" s="278">
        <v>0.2</v>
      </c>
      <c r="D33" s="278">
        <f t="shared" si="1"/>
        <v>0.2</v>
      </c>
      <c r="E33" s="278">
        <v>0.85</v>
      </c>
      <c r="F33" s="574">
        <f t="shared" si="2"/>
        <v>0.17</v>
      </c>
      <c r="G33" s="278">
        <v>360</v>
      </c>
      <c r="H33" s="574">
        <f t="shared" si="0"/>
        <v>61.2</v>
      </c>
    </row>
    <row r="34" spans="1:8" x14ac:dyDescent="0.25">
      <c r="A34" s="282" t="s">
        <v>538</v>
      </c>
      <c r="B34" s="278">
        <v>1</v>
      </c>
      <c r="C34" s="278">
        <v>0.22</v>
      </c>
      <c r="D34" s="278">
        <f t="shared" si="1"/>
        <v>0.22</v>
      </c>
      <c r="E34" s="278">
        <v>0.85</v>
      </c>
      <c r="F34" s="574">
        <f t="shared" si="2"/>
        <v>0.187</v>
      </c>
      <c r="G34" s="278">
        <v>220</v>
      </c>
      <c r="H34" s="574">
        <f t="shared" si="0"/>
        <v>41.14</v>
      </c>
    </row>
    <row r="35" spans="1:8" x14ac:dyDescent="0.25">
      <c r="A35" s="282" t="s">
        <v>540</v>
      </c>
      <c r="B35" s="278">
        <v>1</v>
      </c>
      <c r="C35" s="574">
        <v>3.2000000000000002E-3</v>
      </c>
      <c r="D35" s="278">
        <f t="shared" si="1"/>
        <v>3.2000000000000002E-3</v>
      </c>
      <c r="E35" s="278">
        <v>0.85</v>
      </c>
      <c r="F35" s="574">
        <f t="shared" si="2"/>
        <v>2.7200000000000002E-3</v>
      </c>
      <c r="G35" s="278">
        <v>220</v>
      </c>
      <c r="H35" s="574">
        <f t="shared" si="0"/>
        <v>0.59840000000000004</v>
      </c>
    </row>
    <row r="36" spans="1:8" x14ac:dyDescent="0.25">
      <c r="A36" s="282" t="s">
        <v>541</v>
      </c>
      <c r="B36" s="278">
        <v>1</v>
      </c>
      <c r="C36" s="278">
        <v>5.0000000000000001E-3</v>
      </c>
      <c r="D36" s="278">
        <f t="shared" si="1"/>
        <v>5.0000000000000001E-3</v>
      </c>
      <c r="E36" s="278">
        <v>0.85</v>
      </c>
      <c r="F36" s="574">
        <f t="shared" si="2"/>
        <v>4.2500000000000003E-3</v>
      </c>
      <c r="G36" s="278">
        <v>44</v>
      </c>
      <c r="H36" s="574">
        <f t="shared" si="0"/>
        <v>0.187</v>
      </c>
    </row>
    <row r="37" spans="1:8" x14ac:dyDescent="0.25">
      <c r="A37" s="282" t="s">
        <v>595</v>
      </c>
      <c r="B37" s="278">
        <v>24</v>
      </c>
      <c r="C37" s="278">
        <v>1.7999999999999999E-2</v>
      </c>
      <c r="D37" s="278">
        <f t="shared" si="1"/>
        <v>0.43199999999999994</v>
      </c>
      <c r="E37" s="278">
        <v>0.85</v>
      </c>
      <c r="F37" s="574">
        <f t="shared" si="2"/>
        <v>0.36719999999999992</v>
      </c>
      <c r="G37" s="278">
        <v>220</v>
      </c>
      <c r="H37" s="574">
        <f t="shared" si="0"/>
        <v>80.783999999999978</v>
      </c>
    </row>
    <row r="38" spans="1:8" x14ac:dyDescent="0.25">
      <c r="A38" s="282" t="s">
        <v>596</v>
      </c>
      <c r="B38" s="278">
        <v>22</v>
      </c>
      <c r="C38" s="278">
        <v>0.15</v>
      </c>
      <c r="D38" s="278">
        <f t="shared" si="1"/>
        <v>3.3</v>
      </c>
      <c r="E38" s="278">
        <v>0.85</v>
      </c>
      <c r="F38" s="574">
        <f t="shared" si="2"/>
        <v>2.8049999999999997</v>
      </c>
      <c r="G38" s="278">
        <v>220</v>
      </c>
      <c r="H38" s="574">
        <f t="shared" si="0"/>
        <v>617.09999999999991</v>
      </c>
    </row>
    <row r="39" spans="1:8" x14ac:dyDescent="0.25">
      <c r="A39" s="282" t="s">
        <v>597</v>
      </c>
      <c r="B39" s="278">
        <v>5</v>
      </c>
      <c r="C39" s="278">
        <v>0.1</v>
      </c>
      <c r="D39" s="278">
        <f t="shared" si="1"/>
        <v>0.5</v>
      </c>
      <c r="E39" s="278">
        <v>0.85</v>
      </c>
      <c r="F39" s="574">
        <f t="shared" si="2"/>
        <v>0.42499999999999999</v>
      </c>
      <c r="G39" s="278">
        <v>300</v>
      </c>
      <c r="H39" s="574">
        <f t="shared" si="0"/>
        <v>127.5</v>
      </c>
    </row>
    <row r="40" spans="1:8" x14ac:dyDescent="0.25">
      <c r="A40" s="575" t="s">
        <v>67</v>
      </c>
      <c r="B40" s="575"/>
      <c r="C40" s="575"/>
      <c r="D40" s="576">
        <f>SUM(D2:D39)</f>
        <v>81.722200000000015</v>
      </c>
      <c r="E40" s="575"/>
      <c r="F40" s="576">
        <f>SUM(F2:F39)</f>
        <v>69.463869999999972</v>
      </c>
      <c r="G40" s="575"/>
      <c r="H40" s="576">
        <f>SUM(H2:H39)</f>
        <v>1726.0452749999999</v>
      </c>
    </row>
    <row r="42" spans="1:8" ht="14.4" thickBot="1" x14ac:dyDescent="0.3"/>
    <row r="43" spans="1:8" ht="14.4" thickBot="1" x14ac:dyDescent="0.3">
      <c r="A43" s="583" t="s">
        <v>608</v>
      </c>
      <c r="B43" s="587"/>
      <c r="C43" s="587" t="s">
        <v>609</v>
      </c>
      <c r="D43" s="588" t="s">
        <v>610</v>
      </c>
    </row>
    <row r="44" spans="1:8" x14ac:dyDescent="0.25">
      <c r="A44" s="261" t="s">
        <v>611</v>
      </c>
      <c r="B44" s="291">
        <v>437.04</v>
      </c>
      <c r="C44" s="589">
        <f>B44*F40</f>
        <v>30358.48974479999</v>
      </c>
      <c r="D44" s="293"/>
    </row>
    <row r="45" spans="1:8" ht="14.4" thickBot="1" x14ac:dyDescent="0.3">
      <c r="A45" s="287" t="s">
        <v>612</v>
      </c>
      <c r="B45" s="289">
        <v>2.4500000000000002</v>
      </c>
      <c r="C45" s="288"/>
      <c r="D45" s="590">
        <f>B45*H40</f>
        <v>4228.8109237500003</v>
      </c>
    </row>
    <row r="46" spans="1:8" ht="14.4" thickBot="1" x14ac:dyDescent="0.3">
      <c r="A46" s="591" t="s">
        <v>67</v>
      </c>
      <c r="B46" s="592"/>
      <c r="C46" s="968">
        <f>C44+D45</f>
        <v>34587.300668549993</v>
      </c>
      <c r="D46" s="969"/>
    </row>
    <row r="47" spans="1:8" ht="14.4" thickBot="1" x14ac:dyDescent="0.3">
      <c r="A47" s="583" t="s">
        <v>613</v>
      </c>
      <c r="B47" s="587"/>
      <c r="C47" s="970">
        <f>C46*12</f>
        <v>415047.60802259995</v>
      </c>
      <c r="D47" s="971"/>
    </row>
    <row r="48" spans="1:8" ht="14.4" thickBot="1" x14ac:dyDescent="0.3"/>
    <row r="49" spans="1:9" ht="14.4" thickBot="1" x14ac:dyDescent="0.3">
      <c r="A49" s="311" t="s">
        <v>778</v>
      </c>
      <c r="B49" s="593"/>
      <c r="C49" s="593" t="s">
        <v>609</v>
      </c>
      <c r="D49" s="594" t="s">
        <v>610</v>
      </c>
      <c r="F49" s="978" t="s">
        <v>779</v>
      </c>
      <c r="G49" s="979"/>
      <c r="H49" s="980"/>
      <c r="I49" s="596"/>
    </row>
    <row r="50" spans="1:9" x14ac:dyDescent="0.25">
      <c r="A50" s="261" t="s">
        <v>611</v>
      </c>
      <c r="B50" s="291">
        <v>578.77</v>
      </c>
      <c r="C50" s="292">
        <f>B50</f>
        <v>578.77</v>
      </c>
      <c r="D50" s="293"/>
      <c r="F50" s="943" t="s">
        <v>780</v>
      </c>
      <c r="G50" s="944"/>
      <c r="H50" s="598">
        <v>12</v>
      </c>
      <c r="I50" s="284"/>
    </row>
    <row r="51" spans="1:9" ht="14.4" thickBot="1" x14ac:dyDescent="0.3">
      <c r="A51" s="304" t="s">
        <v>777</v>
      </c>
      <c r="B51" s="289">
        <v>9.1</v>
      </c>
      <c r="C51" s="288"/>
      <c r="D51" s="290">
        <f>B51*H53</f>
        <v>273</v>
      </c>
      <c r="F51" s="943" t="s">
        <v>781</v>
      </c>
      <c r="G51" s="944"/>
      <c r="H51" s="598">
        <v>0.5</v>
      </c>
      <c r="I51" s="284"/>
    </row>
    <row r="52" spans="1:9" ht="14.4" thickBot="1" x14ac:dyDescent="0.3">
      <c r="A52" s="307" t="s">
        <v>67</v>
      </c>
      <c r="B52" s="595"/>
      <c r="C52" s="972">
        <f>C50+D51</f>
        <v>851.77</v>
      </c>
      <c r="D52" s="973"/>
      <c r="F52" s="943" t="s">
        <v>782</v>
      </c>
      <c r="G52" s="944"/>
      <c r="H52" s="598">
        <v>5</v>
      </c>
      <c r="I52" s="284"/>
    </row>
    <row r="53" spans="1:9" ht="14.4" thickBot="1" x14ac:dyDescent="0.3">
      <c r="A53" s="311" t="s">
        <v>613</v>
      </c>
      <c r="B53" s="593"/>
      <c r="C53" s="974">
        <f>C52*12</f>
        <v>10221.24</v>
      </c>
      <c r="D53" s="975"/>
      <c r="F53" s="976" t="s">
        <v>783</v>
      </c>
      <c r="G53" s="977"/>
      <c r="H53" s="599">
        <f>H50*H51*H52</f>
        <v>30</v>
      </c>
    </row>
  </sheetData>
  <mergeCells count="9">
    <mergeCell ref="C46:D46"/>
    <mergeCell ref="C47:D47"/>
    <mergeCell ref="C52:D52"/>
    <mergeCell ref="C53:D53"/>
    <mergeCell ref="F50:G50"/>
    <mergeCell ref="F51:G51"/>
    <mergeCell ref="F52:G52"/>
    <mergeCell ref="F53:G53"/>
    <mergeCell ref="F49:H49"/>
  </mergeCells>
  <pageMargins left="0.7" right="0.7" top="0.75" bottom="0.75" header="0.3" footer="0.3"/>
  <pageSetup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BB5E1-630D-4F58-9445-4087CDE642AE}">
  <dimension ref="A1:K28"/>
  <sheetViews>
    <sheetView topLeftCell="A2" workbookViewId="0">
      <selection activeCell="K9" sqref="K9"/>
    </sheetView>
  </sheetViews>
  <sheetFormatPr baseColWidth="10" defaultRowHeight="13.8" x14ac:dyDescent="0.25"/>
  <cols>
    <col min="1" max="1" width="36.5" bestFit="1" customWidth="1"/>
    <col min="5" max="5" width="23.19921875" customWidth="1"/>
    <col min="6" max="6" width="13" customWidth="1"/>
    <col min="7" max="7" width="13.59765625" customWidth="1"/>
    <col min="8" max="8" width="13.5" customWidth="1"/>
    <col min="9" max="9" width="13.69921875" customWidth="1"/>
    <col min="10" max="10" width="8.8984375" customWidth="1"/>
    <col min="11" max="11" width="16.3984375" customWidth="1"/>
  </cols>
  <sheetData>
    <row r="1" spans="1:11" ht="14.4" thickBot="1" x14ac:dyDescent="0.3"/>
    <row r="2" spans="1:11" ht="28.2" thickBot="1" x14ac:dyDescent="0.3">
      <c r="A2" s="981" t="s">
        <v>622</v>
      </c>
      <c r="B2" s="982"/>
      <c r="E2" s="314" t="s">
        <v>645</v>
      </c>
      <c r="F2" s="315" t="s">
        <v>646</v>
      </c>
      <c r="G2" s="315" t="s">
        <v>647</v>
      </c>
      <c r="H2" s="315" t="s">
        <v>648</v>
      </c>
      <c r="I2" s="314" t="s">
        <v>649</v>
      </c>
      <c r="J2" s="314" t="s">
        <v>20</v>
      </c>
      <c r="K2" s="314" t="s">
        <v>103</v>
      </c>
    </row>
    <row r="3" spans="1:11" x14ac:dyDescent="0.25">
      <c r="A3" s="261" t="s">
        <v>623</v>
      </c>
      <c r="B3" s="297">
        <v>1</v>
      </c>
      <c r="E3" s="278" t="s">
        <v>650</v>
      </c>
      <c r="F3" s="601" t="s">
        <v>559</v>
      </c>
      <c r="G3" s="279">
        <v>80780</v>
      </c>
      <c r="H3" s="280">
        <f>G3*$B$28</f>
        <v>54950.914081000003</v>
      </c>
      <c r="I3" s="280">
        <f>G3-G3*$C$15</f>
        <v>57030.679999999993</v>
      </c>
      <c r="J3" s="278">
        <v>2</v>
      </c>
      <c r="K3" s="280">
        <f>J3*(I3+H3)</f>
        <v>223963.18816199998</v>
      </c>
    </row>
    <row r="4" spans="1:11" x14ac:dyDescent="0.25">
      <c r="A4" s="983" t="s">
        <v>638</v>
      </c>
      <c r="B4" s="984"/>
      <c r="E4" s="278" t="s">
        <v>651</v>
      </c>
      <c r="F4" s="602">
        <v>334.5</v>
      </c>
      <c r="G4" s="279">
        <f>184*F4</f>
        <v>61548</v>
      </c>
      <c r="H4" s="280">
        <f t="shared" ref="H4:H14" si="0">G4*$B$28</f>
        <v>41868.270114599996</v>
      </c>
      <c r="I4" s="280">
        <f t="shared" ref="I4:I14" si="1">G4-G4*$C$15</f>
        <v>43452.887999999999</v>
      </c>
      <c r="J4" s="278">
        <v>1</v>
      </c>
      <c r="K4" s="280">
        <f t="shared" ref="K4:K14" si="2">J4*(I4+H4)</f>
        <v>85321.158114599995</v>
      </c>
    </row>
    <row r="5" spans="1:11" x14ac:dyDescent="0.25">
      <c r="A5" s="262" t="s">
        <v>624</v>
      </c>
      <c r="B5" s="298">
        <v>6.1899999999999997E-2</v>
      </c>
      <c r="E5" s="278" t="s">
        <v>652</v>
      </c>
      <c r="F5" s="602">
        <v>378.1</v>
      </c>
      <c r="G5" s="279">
        <f t="shared" ref="G5:G14" si="3">184*F5</f>
        <v>69570.400000000009</v>
      </c>
      <c r="H5" s="280">
        <f t="shared" si="0"/>
        <v>47325.539403080009</v>
      </c>
      <c r="I5" s="280">
        <f t="shared" si="1"/>
        <v>49116.702400000002</v>
      </c>
      <c r="J5" s="278">
        <v>1</v>
      </c>
      <c r="K5" s="280">
        <f t="shared" si="2"/>
        <v>96442.241803080018</v>
      </c>
    </row>
    <row r="6" spans="1:11" x14ac:dyDescent="0.25">
      <c r="A6" s="262" t="s">
        <v>625</v>
      </c>
      <c r="B6" s="298">
        <v>2.06E-2</v>
      </c>
      <c r="E6" s="278" t="s">
        <v>653</v>
      </c>
      <c r="F6" s="602">
        <v>311.33999999999997</v>
      </c>
      <c r="G6" s="279">
        <f t="shared" si="3"/>
        <v>57286.559999999998</v>
      </c>
      <c r="H6" s="280">
        <f t="shared" si="0"/>
        <v>38969.408721911997</v>
      </c>
      <c r="I6" s="280">
        <f t="shared" si="1"/>
        <v>40444.311359999992</v>
      </c>
      <c r="J6" s="278">
        <v>1</v>
      </c>
      <c r="K6" s="280">
        <f t="shared" si="2"/>
        <v>79413.72008191199</v>
      </c>
    </row>
    <row r="7" spans="1:11" x14ac:dyDescent="0.25">
      <c r="A7" s="262" t="s">
        <v>626</v>
      </c>
      <c r="B7" s="298">
        <v>1.6500000000000001E-2</v>
      </c>
      <c r="E7" s="278" t="s">
        <v>467</v>
      </c>
      <c r="F7" s="602">
        <v>305.45</v>
      </c>
      <c r="G7" s="279">
        <f t="shared" si="3"/>
        <v>56202.799999999996</v>
      </c>
      <c r="H7" s="280">
        <f t="shared" si="0"/>
        <v>38232.176701059994</v>
      </c>
      <c r="I7" s="280">
        <f t="shared" si="1"/>
        <v>39679.176799999994</v>
      </c>
      <c r="J7" s="278">
        <v>1</v>
      </c>
      <c r="K7" s="280">
        <f t="shared" si="2"/>
        <v>77911.353501059988</v>
      </c>
    </row>
    <row r="8" spans="1:11" x14ac:dyDescent="0.25">
      <c r="A8" s="262" t="s">
        <v>627</v>
      </c>
      <c r="B8" s="298">
        <v>7.4300000000000005E-2</v>
      </c>
      <c r="E8" s="278" t="s">
        <v>654</v>
      </c>
      <c r="F8" s="602">
        <v>318.18</v>
      </c>
      <c r="G8" s="279">
        <f t="shared" si="3"/>
        <v>58545.120000000003</v>
      </c>
      <c r="H8" s="280">
        <f t="shared" si="0"/>
        <v>39825.549133223998</v>
      </c>
      <c r="I8" s="280">
        <f t="shared" si="1"/>
        <v>41332.854720000003</v>
      </c>
      <c r="J8" s="278">
        <v>1</v>
      </c>
      <c r="K8" s="280">
        <f t="shared" si="2"/>
        <v>81158.403853224008</v>
      </c>
    </row>
    <row r="9" spans="1:11" x14ac:dyDescent="0.25">
      <c r="A9" s="262" t="s">
        <v>628</v>
      </c>
      <c r="B9" s="298">
        <v>8.2000000000000007E-3</v>
      </c>
      <c r="E9" s="278" t="s">
        <v>470</v>
      </c>
      <c r="F9" s="602">
        <v>275.06</v>
      </c>
      <c r="G9" s="279">
        <f t="shared" si="3"/>
        <v>50611.040000000001</v>
      </c>
      <c r="H9" s="280">
        <f t="shared" si="0"/>
        <v>34428.359873608002</v>
      </c>
      <c r="I9" s="280">
        <f t="shared" si="1"/>
        <v>35731.394239999994</v>
      </c>
      <c r="J9" s="278">
        <v>1</v>
      </c>
      <c r="K9" s="280">
        <f t="shared" si="2"/>
        <v>70159.754113607996</v>
      </c>
    </row>
    <row r="10" spans="1:11" ht="14.4" thickBot="1" x14ac:dyDescent="0.3">
      <c r="A10" s="287" t="s">
        <v>629</v>
      </c>
      <c r="B10" s="299">
        <f>SUM(B5:B9)</f>
        <v>0.18150000000000002</v>
      </c>
      <c r="E10" s="278" t="s">
        <v>471</v>
      </c>
      <c r="F10" s="602">
        <v>275.06</v>
      </c>
      <c r="G10" s="279">
        <f t="shared" si="3"/>
        <v>50611.040000000001</v>
      </c>
      <c r="H10" s="280">
        <f t="shared" si="0"/>
        <v>34428.359873608002</v>
      </c>
      <c r="I10" s="280">
        <f t="shared" si="1"/>
        <v>35731.394239999994</v>
      </c>
      <c r="J10" s="278">
        <v>2</v>
      </c>
      <c r="K10" s="280">
        <f t="shared" si="2"/>
        <v>140319.50822721599</v>
      </c>
    </row>
    <row r="11" spans="1:11" ht="14.4" thickBot="1" x14ac:dyDescent="0.3">
      <c r="A11" s="309" t="s">
        <v>630</v>
      </c>
      <c r="B11" s="310">
        <f>B3+B10</f>
        <v>1.1815</v>
      </c>
      <c r="E11" s="278" t="s">
        <v>473</v>
      </c>
      <c r="F11" s="602">
        <v>275.06</v>
      </c>
      <c r="G11" s="279">
        <f t="shared" si="3"/>
        <v>50611.040000000001</v>
      </c>
      <c r="H11" s="280">
        <f t="shared" si="0"/>
        <v>34428.359873608002</v>
      </c>
      <c r="I11" s="280">
        <f t="shared" si="1"/>
        <v>35731.394239999994</v>
      </c>
      <c r="J11" s="278">
        <v>1</v>
      </c>
      <c r="K11" s="280">
        <f t="shared" si="2"/>
        <v>70159.754113607996</v>
      </c>
    </row>
    <row r="12" spans="1:11" ht="14.4" thickBot="1" x14ac:dyDescent="0.3">
      <c r="A12" s="301" t="s">
        <v>639</v>
      </c>
      <c r="B12" s="302">
        <f>B11*0.0833</f>
        <v>9.8418950000000005E-2</v>
      </c>
      <c r="E12" s="278" t="s">
        <v>472</v>
      </c>
      <c r="F12" s="602">
        <v>275.06</v>
      </c>
      <c r="G12" s="279">
        <f t="shared" si="3"/>
        <v>50611.040000000001</v>
      </c>
      <c r="H12" s="280">
        <f t="shared" si="0"/>
        <v>34428.359873608002</v>
      </c>
      <c r="I12" s="280">
        <f t="shared" si="1"/>
        <v>35731.394239999994</v>
      </c>
      <c r="J12" s="278">
        <v>1</v>
      </c>
      <c r="K12" s="280">
        <f t="shared" si="2"/>
        <v>70159.754113607996</v>
      </c>
    </row>
    <row r="13" spans="1:11" ht="14.4" thickBot="1" x14ac:dyDescent="0.3">
      <c r="A13" s="309" t="s">
        <v>630</v>
      </c>
      <c r="B13" s="310">
        <f>B11+B12</f>
        <v>1.2799189499999999</v>
      </c>
      <c r="E13" s="278" t="s">
        <v>476</v>
      </c>
      <c r="F13" s="602">
        <v>275.06</v>
      </c>
      <c r="G13" s="279">
        <f t="shared" si="3"/>
        <v>50611.040000000001</v>
      </c>
      <c r="H13" s="280">
        <f t="shared" si="0"/>
        <v>34428.359873608002</v>
      </c>
      <c r="I13" s="280">
        <f t="shared" si="1"/>
        <v>35731.394239999994</v>
      </c>
      <c r="J13" s="278">
        <v>2</v>
      </c>
      <c r="K13" s="280">
        <f t="shared" si="2"/>
        <v>140319.50822721599</v>
      </c>
    </row>
    <row r="14" spans="1:11" ht="14.4" thickBot="1" x14ac:dyDescent="0.3">
      <c r="A14" s="985" t="s">
        <v>631</v>
      </c>
      <c r="B14" s="986"/>
      <c r="E14" s="278" t="s">
        <v>468</v>
      </c>
      <c r="F14" s="602">
        <v>275.06</v>
      </c>
      <c r="G14" s="279">
        <f t="shared" si="3"/>
        <v>50611.040000000001</v>
      </c>
      <c r="H14" s="280">
        <f t="shared" si="0"/>
        <v>34428.359873608002</v>
      </c>
      <c r="I14" s="280">
        <f t="shared" si="1"/>
        <v>35731.394239999994</v>
      </c>
      <c r="J14" s="278">
        <v>2</v>
      </c>
      <c r="K14" s="280">
        <f t="shared" si="2"/>
        <v>140319.50822721599</v>
      </c>
    </row>
    <row r="15" spans="1:11" x14ac:dyDescent="0.25">
      <c r="A15" s="261" t="s">
        <v>633</v>
      </c>
      <c r="B15" s="303">
        <v>0.1235</v>
      </c>
      <c r="C15" s="313">
        <f>SUM(B15:B22)</f>
        <v>0.29400000000000004</v>
      </c>
      <c r="J15" s="597" t="s">
        <v>67</v>
      </c>
      <c r="K15" s="600">
        <f>SUM(K3:K14)</f>
        <v>1275647.8525383482</v>
      </c>
    </row>
    <row r="16" spans="1:11" x14ac:dyDescent="0.25">
      <c r="A16" s="262" t="s">
        <v>632</v>
      </c>
      <c r="B16" s="298">
        <v>1.5800000000000002E-2</v>
      </c>
    </row>
    <row r="17" spans="1:2" x14ac:dyDescent="0.25">
      <c r="A17" s="262" t="s">
        <v>634</v>
      </c>
      <c r="B17" s="298">
        <v>0.06</v>
      </c>
    </row>
    <row r="18" spans="1:2" x14ac:dyDescent="0.25">
      <c r="A18" s="262" t="s">
        <v>635</v>
      </c>
      <c r="B18" s="298">
        <v>5.3999999999999999E-2</v>
      </c>
    </row>
    <row r="19" spans="1:2" x14ac:dyDescent="0.25">
      <c r="A19" s="262" t="s">
        <v>636</v>
      </c>
      <c r="B19" s="298">
        <v>1.0699999999999999E-2</v>
      </c>
    </row>
    <row r="20" spans="1:2" x14ac:dyDescent="0.25">
      <c r="A20" s="263" t="s">
        <v>640</v>
      </c>
      <c r="B20" s="298">
        <v>5.0000000000000001E-3</v>
      </c>
    </row>
    <row r="21" spans="1:2" x14ac:dyDescent="0.25">
      <c r="A21" s="263" t="s">
        <v>641</v>
      </c>
      <c r="B21" s="298">
        <v>0.02</v>
      </c>
    </row>
    <row r="22" spans="1:2" ht="14.4" thickBot="1" x14ac:dyDescent="0.3">
      <c r="A22" s="304" t="s">
        <v>642</v>
      </c>
      <c r="B22" s="299">
        <v>5.0000000000000001E-3</v>
      </c>
    </row>
    <row r="23" spans="1:2" ht="14.4" thickBot="1" x14ac:dyDescent="0.3">
      <c r="A23" s="309" t="s">
        <v>630</v>
      </c>
      <c r="B23" s="310">
        <f>SUM(B15:B22)+B13</f>
        <v>1.5739189499999999</v>
      </c>
    </row>
    <row r="24" spans="1:2" x14ac:dyDescent="0.25">
      <c r="A24" s="300" t="s">
        <v>643</v>
      </c>
      <c r="B24" s="303">
        <f>B11*0.05</f>
        <v>5.9075000000000003E-2</v>
      </c>
    </row>
    <row r="25" spans="1:2" ht="14.4" thickBot="1" x14ac:dyDescent="0.3">
      <c r="A25" s="304" t="s">
        <v>644</v>
      </c>
      <c r="B25" s="299">
        <f>B11*0.04</f>
        <v>4.7260000000000003E-2</v>
      </c>
    </row>
    <row r="26" spans="1:2" ht="14.4" thickBot="1" x14ac:dyDescent="0.3">
      <c r="A26" s="307" t="s">
        <v>67</v>
      </c>
      <c r="B26" s="308">
        <f>B23+B24+B25</f>
        <v>1.68025395</v>
      </c>
    </row>
    <row r="27" spans="1:2" ht="14.4" thickBot="1" x14ac:dyDescent="0.3">
      <c r="A27" s="305" t="s">
        <v>623</v>
      </c>
      <c r="B27" s="306">
        <v>1</v>
      </c>
    </row>
    <row r="28" spans="1:2" ht="14.4" thickBot="1" x14ac:dyDescent="0.3">
      <c r="A28" s="311" t="s">
        <v>637</v>
      </c>
      <c r="B28" s="312">
        <f>B26-B27</f>
        <v>0.68025395</v>
      </c>
    </row>
  </sheetData>
  <mergeCells count="3">
    <mergeCell ref="A2:B2"/>
    <mergeCell ref="A4:B4"/>
    <mergeCell ref="A14:B14"/>
  </mergeCells>
  <pageMargins left="0.7" right="0.7" top="0.75" bottom="0.75" header="0.3" footer="0.3"/>
  <pageSetup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8ED8F-D4CD-4A75-898B-5196D65F9587}">
  <dimension ref="A1:O72"/>
  <sheetViews>
    <sheetView topLeftCell="A3" zoomScaleNormal="100" workbookViewId="0">
      <selection activeCell="K17" sqref="K17"/>
    </sheetView>
  </sheetViews>
  <sheetFormatPr baseColWidth="10" defaultRowHeight="13.8" x14ac:dyDescent="0.25"/>
  <cols>
    <col min="1" max="1" width="6.59765625" customWidth="1"/>
    <col min="2" max="2" width="7.59765625" customWidth="1"/>
    <col min="3" max="3" width="33.59765625" customWidth="1"/>
    <col min="4" max="4" width="14.09765625" style="317" bestFit="1" customWidth="1"/>
    <col min="5" max="6" width="14.09765625" style="318" bestFit="1" customWidth="1"/>
    <col min="7" max="7" width="14.09765625" style="319" bestFit="1" customWidth="1"/>
    <col min="9" max="9" width="5.69921875" customWidth="1"/>
    <col min="10" max="10" width="17.8984375" bestFit="1" customWidth="1"/>
    <col min="11" max="11" width="15.3984375" customWidth="1"/>
    <col min="12" max="12" width="15.5" customWidth="1"/>
    <col min="13" max="13" width="14.8984375" customWidth="1"/>
    <col min="14" max="14" width="15.09765625" customWidth="1"/>
    <col min="15" max="15" width="14.59765625" customWidth="1"/>
  </cols>
  <sheetData>
    <row r="1" spans="1:15" ht="14.4" thickBot="1" x14ac:dyDescent="0.3">
      <c r="A1" s="1021" t="s">
        <v>655</v>
      </c>
      <c r="B1" s="1022"/>
      <c r="C1" s="1022"/>
      <c r="D1" s="603" t="s">
        <v>656</v>
      </c>
      <c r="E1" s="604" t="s">
        <v>611</v>
      </c>
      <c r="F1" s="604" t="s">
        <v>657</v>
      </c>
      <c r="G1" s="605" t="s">
        <v>658</v>
      </c>
      <c r="I1" s="1006" t="s">
        <v>771</v>
      </c>
      <c r="J1" s="1007"/>
      <c r="K1" s="1007"/>
      <c r="L1" s="1007"/>
      <c r="M1" s="1007"/>
      <c r="N1" s="1007"/>
      <c r="O1" s="1008"/>
    </row>
    <row r="2" spans="1:15" ht="15" thickBot="1" x14ac:dyDescent="0.35">
      <c r="A2" s="1015" t="s">
        <v>662</v>
      </c>
      <c r="B2" s="1016"/>
      <c r="C2" s="1016"/>
      <c r="D2" s="606"/>
      <c r="E2" s="607"/>
      <c r="F2" s="607"/>
      <c r="G2" s="608"/>
      <c r="I2" s="1001" t="s">
        <v>772</v>
      </c>
      <c r="J2" s="1002"/>
      <c r="K2" s="635" t="s">
        <v>2</v>
      </c>
      <c r="L2" s="619" t="s">
        <v>8</v>
      </c>
      <c r="M2" s="619" t="s">
        <v>9</v>
      </c>
      <c r="N2" s="619" t="s">
        <v>10</v>
      </c>
      <c r="O2" s="622" t="s">
        <v>12</v>
      </c>
    </row>
    <row r="3" spans="1:15" ht="14.4" x14ac:dyDescent="0.3">
      <c r="A3" s="904"/>
      <c r="B3" s="1014" t="s">
        <v>664</v>
      </c>
      <c r="C3" s="1014"/>
      <c r="D3" s="320">
        <f>('Costos MP'!D102*6+'Costos MP'!I102*4+'Costos MP'!N102*8+'Costos MP'!S102*6+'Costos MP'!X102*5)/Mercado!G5</f>
        <v>1215520.9977502942</v>
      </c>
      <c r="E3" s="432"/>
      <c r="F3" s="318">
        <f>D3*Mercado!G6</f>
        <v>2912366.5887423749</v>
      </c>
      <c r="G3" s="322"/>
      <c r="I3" s="1009" t="s">
        <v>773</v>
      </c>
      <c r="J3" s="1010"/>
      <c r="K3" s="636"/>
      <c r="L3" s="388"/>
      <c r="M3" s="388"/>
      <c r="N3" s="388"/>
      <c r="O3" s="623"/>
    </row>
    <row r="4" spans="1:15" x14ac:dyDescent="0.25">
      <c r="A4" s="904"/>
      <c r="B4" s="1014" t="s">
        <v>663</v>
      </c>
      <c r="C4" s="1014"/>
      <c r="E4" s="318">
        <f>'Costo Salarial'!K4+'Costo Salarial'!K5+'Costo Salarial'!K7+SUM('Costo Salarial'!K9:K14)</f>
        <v>891112.5404412119</v>
      </c>
      <c r="G4" s="322"/>
      <c r="I4" s="1003"/>
      <c r="J4" s="642" t="s">
        <v>664</v>
      </c>
      <c r="K4" s="637">
        <f>'Costos MP'!D102</f>
        <v>1227919.4774947502</v>
      </c>
      <c r="L4" s="318">
        <f>'Costos MP'!I102</f>
        <v>1185284.5310010391</v>
      </c>
      <c r="M4" s="318">
        <f>'Costos MP'!N102</f>
        <v>1368907.0891963909</v>
      </c>
      <c r="N4" s="318">
        <f>'Costos MP'!S102</f>
        <v>1435169.3122927947</v>
      </c>
      <c r="O4" s="322">
        <f>'Costos MP'!X102</f>
        <v>655494.29772158898</v>
      </c>
    </row>
    <row r="5" spans="1:15" x14ac:dyDescent="0.25">
      <c r="A5" s="904"/>
      <c r="B5" s="1013" t="s">
        <v>659</v>
      </c>
      <c r="C5" s="1013"/>
      <c r="G5" s="322"/>
      <c r="I5" s="1003"/>
      <c r="J5" s="642" t="s">
        <v>665</v>
      </c>
      <c r="K5" s="637">
        <f>($F$7/20)*'Tabla de procesos'!J4</f>
        <v>2960.1676466250001</v>
      </c>
      <c r="L5" s="318">
        <f>($F$7/20)*'Tabla de procesos'!J4</f>
        <v>2960.1676466250001</v>
      </c>
      <c r="M5" s="318">
        <f>($F$7/20)*'Tabla de procesos'!J5</f>
        <v>3594.4892851875002</v>
      </c>
      <c r="N5" s="318">
        <f>($F$7/20)*'Tabla de procesos'!J5</f>
        <v>3594.4892851875002</v>
      </c>
      <c r="O5" s="322">
        <f>($F$7/20)*'Tabla de procesos'!J3</f>
        <v>2325.8460080625</v>
      </c>
    </row>
    <row r="6" spans="1:15" x14ac:dyDescent="0.25">
      <c r="A6" s="904"/>
      <c r="B6" s="905"/>
      <c r="C6" s="221" t="s">
        <v>671</v>
      </c>
      <c r="E6" s="318">
        <f>Inversiones!J2/12</f>
        <v>93028.108579201114</v>
      </c>
      <c r="G6" s="322"/>
      <c r="I6" s="1003"/>
      <c r="J6" s="642" t="s">
        <v>784</v>
      </c>
      <c r="K6" s="637">
        <f>('Costos Energía'!$D$51/'Costos Energía'!$H$52)*2</f>
        <v>109.2</v>
      </c>
      <c r="L6" s="318">
        <f>('Costos Energía'!$D$51/'Costos Energía'!$H$52)*2</f>
        <v>109.2</v>
      </c>
      <c r="M6" s="318">
        <f>('Costos Energía'!$D$51/'Costos Energía'!$H$52)*2</f>
        <v>109.2</v>
      </c>
      <c r="N6" s="318">
        <f>('Costos Energía'!$D$51/'Costos Energía'!$H$52)*2</f>
        <v>109.2</v>
      </c>
      <c r="O6" s="322">
        <f>('Costos Energía'!$D$51/'Costos Energía'!$H$52)</f>
        <v>54.6</v>
      </c>
    </row>
    <row r="7" spans="1:15" ht="15" thickBot="1" x14ac:dyDescent="0.35">
      <c r="A7" s="904"/>
      <c r="B7" s="905"/>
      <c r="C7" s="221" t="s">
        <v>665</v>
      </c>
      <c r="E7" s="318">
        <f>'Costos Energía'!C44</f>
        <v>30358.48974479999</v>
      </c>
      <c r="F7" s="318">
        <f>'Costos Energía'!D45</f>
        <v>4228.8109237500003</v>
      </c>
      <c r="G7" s="322"/>
      <c r="I7" s="1011" t="s">
        <v>630</v>
      </c>
      <c r="J7" s="1012"/>
      <c r="K7" s="638">
        <f>SUM(K4:K6)</f>
        <v>1230988.8451413752</v>
      </c>
      <c r="L7" s="621">
        <f t="shared" ref="L7:O7" si="0">SUM(L4:L6)</f>
        <v>1188353.8986476641</v>
      </c>
      <c r="M7" s="621">
        <f t="shared" si="0"/>
        <v>1372610.7784815785</v>
      </c>
      <c r="N7" s="621">
        <f t="shared" si="0"/>
        <v>1438873.0015779822</v>
      </c>
      <c r="O7" s="624">
        <f t="shared" si="0"/>
        <v>657874.74372965144</v>
      </c>
    </row>
    <row r="8" spans="1:15" ht="14.4" x14ac:dyDescent="0.3">
      <c r="A8" s="904"/>
      <c r="B8" s="905"/>
      <c r="C8" s="220" t="s">
        <v>784</v>
      </c>
      <c r="E8" s="318">
        <f>'Costos Energía'!C50</f>
        <v>578.77</v>
      </c>
      <c r="F8" s="318">
        <f>'Costos Energía'!D51</f>
        <v>273</v>
      </c>
      <c r="G8" s="322"/>
      <c r="I8" s="1009" t="s">
        <v>774</v>
      </c>
      <c r="J8" s="1010"/>
      <c r="K8" s="636"/>
      <c r="L8" s="388"/>
      <c r="M8" s="388"/>
      <c r="N8" s="388"/>
      <c r="O8" s="623"/>
    </row>
    <row r="9" spans="1:15" x14ac:dyDescent="0.25">
      <c r="A9" s="904"/>
      <c r="B9" s="905"/>
      <c r="C9" s="221" t="s">
        <v>670</v>
      </c>
      <c r="E9" s="318">
        <f>F43</f>
        <v>6172.1789541253356</v>
      </c>
      <c r="G9" s="322"/>
      <c r="I9" s="904"/>
      <c r="J9" s="642" t="s">
        <v>788</v>
      </c>
      <c r="K9" s="639">
        <f>$E$10/Mercado!$G$6</f>
        <v>426234.43435162771</v>
      </c>
      <c r="L9" s="386">
        <f>$E$10/Mercado!$G$6</f>
        <v>426234.43435162771</v>
      </c>
      <c r="M9" s="386">
        <f>$E$10/Mercado!$G$6</f>
        <v>426234.43435162771</v>
      </c>
      <c r="N9" s="386">
        <f>$E$10/Mercado!$G$6</f>
        <v>426234.43435162771</v>
      </c>
      <c r="O9" s="625">
        <f>$E$10/Mercado!$G$6</f>
        <v>426234.43435162771</v>
      </c>
    </row>
    <row r="10" spans="1:15" ht="15" thickBot="1" x14ac:dyDescent="0.35">
      <c r="A10" s="1017" t="s">
        <v>630</v>
      </c>
      <c r="B10" s="1018"/>
      <c r="C10" s="1018"/>
      <c r="D10" s="609"/>
      <c r="E10" s="610">
        <f>SUM(E3:E9)</f>
        <v>1021250.0877193385</v>
      </c>
      <c r="F10" s="610">
        <f>SUM(F3:F9)</f>
        <v>2916868.399666125</v>
      </c>
      <c r="G10" s="611">
        <f>E10+F10</f>
        <v>3938118.4873854634</v>
      </c>
      <c r="I10" s="904"/>
      <c r="J10" s="642" t="s">
        <v>786</v>
      </c>
      <c r="K10" s="639">
        <f>$E$23/Mercado!$G$6</f>
        <v>140280.41695479429</v>
      </c>
      <c r="L10" s="386">
        <f>$E$23/Mercado!$G$6</f>
        <v>140280.41695479429</v>
      </c>
      <c r="M10" s="386">
        <f>$E$23/Mercado!$G$6</f>
        <v>140280.41695479429</v>
      </c>
      <c r="N10" s="386">
        <f>$E$23/Mercado!$G$6</f>
        <v>140280.41695479429</v>
      </c>
      <c r="O10" s="625">
        <f>$E$23/Mercado!$G$6</f>
        <v>140280.41695479429</v>
      </c>
    </row>
    <row r="11" spans="1:15" ht="14.4" x14ac:dyDescent="0.3">
      <c r="A11" s="1015" t="s">
        <v>660</v>
      </c>
      <c r="B11" s="1016"/>
      <c r="C11" s="1016"/>
      <c r="D11" s="606"/>
      <c r="E11" s="607"/>
      <c r="F11" s="607"/>
      <c r="G11" s="608"/>
      <c r="I11" s="904"/>
      <c r="J11" s="642" t="s">
        <v>787</v>
      </c>
      <c r="K11" s="639">
        <f>$E$30/Mercado!$G$6</f>
        <v>62944.426095603485</v>
      </c>
      <c r="L11" s="386">
        <f>$E$30/Mercado!$G$6</f>
        <v>62944.426095603485</v>
      </c>
      <c r="M11" s="386">
        <f>$E$30/Mercado!$G$6</f>
        <v>62944.426095603485</v>
      </c>
      <c r="N11" s="386">
        <f>$E$30/Mercado!$G$6</f>
        <v>62944.426095603485</v>
      </c>
      <c r="O11" s="625">
        <f>$E$30/Mercado!$G$6</f>
        <v>62944.426095603485</v>
      </c>
    </row>
    <row r="12" spans="1:15" x14ac:dyDescent="0.25">
      <c r="A12" s="904"/>
      <c r="B12" s="1013" t="s">
        <v>676</v>
      </c>
      <c r="C12" s="1014"/>
      <c r="E12" s="318">
        <f>'Costo Salarial'!K3</f>
        <v>223963.18816199998</v>
      </c>
      <c r="G12" s="322"/>
      <c r="I12" s="904"/>
      <c r="J12" s="642" t="s">
        <v>699</v>
      </c>
      <c r="K12" s="639">
        <f>$E$35/Mercado!$G$6</f>
        <v>1866.182649098608</v>
      </c>
      <c r="L12" s="386">
        <f>$E$35/Mercado!$G$6</f>
        <v>1866.182649098608</v>
      </c>
      <c r="M12" s="386">
        <f>$E$35/Mercado!$G$6</f>
        <v>1866.182649098608</v>
      </c>
      <c r="N12" s="386">
        <f>$E$35/Mercado!$G$6</f>
        <v>1866.182649098608</v>
      </c>
      <c r="O12" s="625">
        <f>$E$35/Mercado!$G$6</f>
        <v>1866.182649098608</v>
      </c>
    </row>
    <row r="13" spans="1:15" ht="15" thickBot="1" x14ac:dyDescent="0.35">
      <c r="A13" s="904"/>
      <c r="B13" s="1013" t="s">
        <v>654</v>
      </c>
      <c r="C13" s="1014"/>
      <c r="E13" s="318">
        <f>'Costo Salarial'!K8</f>
        <v>81158.403853224008</v>
      </c>
      <c r="G13" s="322"/>
      <c r="I13" s="1011" t="s">
        <v>630</v>
      </c>
      <c r="J13" s="1012"/>
      <c r="K13" s="640">
        <f>SUM(K9:K12)</f>
        <v>631325.4600511241</v>
      </c>
      <c r="L13" s="620">
        <f t="shared" ref="L13:O13" si="1">SUM(L9:L12)</f>
        <v>631325.4600511241</v>
      </c>
      <c r="M13" s="620">
        <f t="shared" si="1"/>
        <v>631325.4600511241</v>
      </c>
      <c r="N13" s="620">
        <f t="shared" si="1"/>
        <v>631325.4600511241</v>
      </c>
      <c r="O13" s="626">
        <f t="shared" si="1"/>
        <v>631325.4600511241</v>
      </c>
    </row>
    <row r="14" spans="1:15" ht="14.4" thickBot="1" x14ac:dyDescent="0.3">
      <c r="A14" s="904"/>
      <c r="B14" s="1013" t="s">
        <v>678</v>
      </c>
      <c r="C14" s="1014"/>
      <c r="E14" s="318">
        <v>10000</v>
      </c>
      <c r="G14" s="322"/>
      <c r="I14" s="999" t="s">
        <v>706</v>
      </c>
      <c r="J14" s="1000"/>
      <c r="K14" s="641">
        <f>K7+K13</f>
        <v>1862314.3051924994</v>
      </c>
      <c r="L14" s="627">
        <f t="shared" ref="L14:O14" si="2">L7+L13</f>
        <v>1819679.3586987881</v>
      </c>
      <c r="M14" s="627">
        <f t="shared" si="2"/>
        <v>2003936.2385327024</v>
      </c>
      <c r="N14" s="627">
        <f t="shared" si="2"/>
        <v>2070198.4616291062</v>
      </c>
      <c r="O14" s="628">
        <f t="shared" si="2"/>
        <v>1289200.2037807754</v>
      </c>
    </row>
    <row r="15" spans="1:15" ht="14.4" thickBot="1" x14ac:dyDescent="0.3">
      <c r="A15" s="904"/>
      <c r="B15" s="1014" t="s">
        <v>672</v>
      </c>
      <c r="C15" s="1023"/>
      <c r="E15" s="318">
        <f>F48</f>
        <v>2037</v>
      </c>
      <c r="G15" s="322"/>
    </row>
    <row r="16" spans="1:15" x14ac:dyDescent="0.25">
      <c r="A16" s="904"/>
      <c r="B16" s="1013" t="s">
        <v>679</v>
      </c>
      <c r="C16" s="1014"/>
      <c r="F16" s="318">
        <v>1500</v>
      </c>
      <c r="G16" s="322"/>
      <c r="I16" s="991" t="s">
        <v>794</v>
      </c>
      <c r="J16" s="992"/>
      <c r="K16" s="643">
        <f>K14+K14*$K$26</f>
        <v>2979702.8883079989</v>
      </c>
      <c r="L16" s="629">
        <f>L14+L14*$K$26</f>
        <v>2911486.9739180608</v>
      </c>
      <c r="M16" s="629">
        <f>M14+M14*$K$26</f>
        <v>3206297.9816523241</v>
      </c>
      <c r="N16" s="629">
        <f>N14+N14*$K$26</f>
        <v>3312317.5386065701</v>
      </c>
      <c r="O16" s="630">
        <f>O14+O14*$K$26</f>
        <v>2062720.3260492408</v>
      </c>
    </row>
    <row r="17" spans="1:15" x14ac:dyDescent="0.25">
      <c r="A17" s="904"/>
      <c r="B17" s="1013" t="s">
        <v>671</v>
      </c>
      <c r="C17" s="1014"/>
      <c r="E17" s="318">
        <f>Inversiones!J5/12</f>
        <v>18950.780138888891</v>
      </c>
      <c r="G17" s="322"/>
      <c r="I17" s="993" t="s">
        <v>795</v>
      </c>
      <c r="J17" s="994"/>
      <c r="K17" s="644">
        <f>K14/$J$24</f>
        <v>19386.990476707258</v>
      </c>
      <c r="L17" s="631">
        <f>L14/$J$24</f>
        <v>18943.153848623653</v>
      </c>
      <c r="M17" s="631">
        <f>M14/$J$24</f>
        <v>20861.29750710704</v>
      </c>
      <c r="N17" s="631">
        <f>N14/$J$24</f>
        <v>21551.097872466231</v>
      </c>
      <c r="O17" s="632">
        <f>O14/$J$24</f>
        <v>13420.780801382212</v>
      </c>
    </row>
    <row r="18" spans="1:15" ht="14.4" thickBot="1" x14ac:dyDescent="0.3">
      <c r="A18" s="904"/>
      <c r="B18" s="1013" t="s">
        <v>677</v>
      </c>
      <c r="C18" s="1014"/>
      <c r="G18" s="322"/>
      <c r="I18" s="1004" t="s">
        <v>796</v>
      </c>
      <c r="J18" s="1005"/>
      <c r="K18" s="645">
        <f>K17+K17*$K$26</f>
        <v>31019.184762731613</v>
      </c>
      <c r="L18" s="633">
        <f>L17+L17*$K$26</f>
        <v>30309.046157797842</v>
      </c>
      <c r="M18" s="633">
        <f>M17+M17*$K$26</f>
        <v>33378.07601137126</v>
      </c>
      <c r="N18" s="633">
        <f>N17+N17*$K$26</f>
        <v>34481.756595945968</v>
      </c>
      <c r="O18" s="634">
        <f>O17+O17*$K$26</f>
        <v>21473.249282211538</v>
      </c>
    </row>
    <row r="19" spans="1:15" ht="14.4" thickBot="1" x14ac:dyDescent="0.3">
      <c r="A19" s="904"/>
      <c r="B19" s="905"/>
      <c r="C19" s="220" t="s">
        <v>680</v>
      </c>
      <c r="F19" s="318">
        <v>500</v>
      </c>
      <c r="G19" s="322"/>
    </row>
    <row r="20" spans="1:15" x14ac:dyDescent="0.25">
      <c r="A20" s="904"/>
      <c r="B20" s="905"/>
      <c r="C20" s="220" t="s">
        <v>681</v>
      </c>
      <c r="F20" s="318">
        <v>800</v>
      </c>
      <c r="G20" s="322"/>
      <c r="I20" s="987" t="s">
        <v>885</v>
      </c>
      <c r="J20" s="988"/>
      <c r="K20" s="646">
        <f>K16/45</f>
        <v>66215.619740177746</v>
      </c>
      <c r="L20" s="646">
        <f>L16/45</f>
        <v>64699.710531512465</v>
      </c>
      <c r="M20" s="646">
        <f>M16/60</f>
        <v>53438.299694205401</v>
      </c>
      <c r="N20" s="646">
        <f>N16/60</f>
        <v>55205.2923101095</v>
      </c>
      <c r="O20" s="647">
        <f>O16/30</f>
        <v>68757.344201641361</v>
      </c>
    </row>
    <row r="21" spans="1:15" ht="14.4" thickBot="1" x14ac:dyDescent="0.3">
      <c r="A21" s="904"/>
      <c r="B21" s="905"/>
      <c r="C21" s="220" t="s">
        <v>682</v>
      </c>
      <c r="F21" s="318">
        <v>1600</v>
      </c>
      <c r="G21" s="322"/>
      <c r="I21" s="995" t="s">
        <v>886</v>
      </c>
      <c r="J21" s="996"/>
      <c r="K21" s="411">
        <f>K20/$J$24</f>
        <v>689.31521694959133</v>
      </c>
      <c r="L21" s="411">
        <f>L20/$J$24</f>
        <v>673.5343590621743</v>
      </c>
      <c r="M21" s="411">
        <f>M20/$J$24</f>
        <v>556.30126685618779</v>
      </c>
      <c r="N21" s="411">
        <f>N20/$J$24</f>
        <v>574.69594326576623</v>
      </c>
      <c r="O21" s="648">
        <f>O20/$J$24</f>
        <v>715.77497607371811</v>
      </c>
    </row>
    <row r="22" spans="1:15" ht="14.4" thickBot="1" x14ac:dyDescent="0.3">
      <c r="A22" s="904"/>
      <c r="B22" s="905"/>
      <c r="C22" s="220" t="s">
        <v>683</v>
      </c>
      <c r="F22" s="318">
        <v>4200</v>
      </c>
      <c r="G22" s="322"/>
      <c r="L22" s="385"/>
    </row>
    <row r="23" spans="1:15" ht="15" thickBot="1" x14ac:dyDescent="0.35">
      <c r="A23" s="1017" t="s">
        <v>630</v>
      </c>
      <c r="B23" s="1018"/>
      <c r="C23" s="1018"/>
      <c r="D23" s="609"/>
      <c r="E23" s="610">
        <f>SUM(E12:E22)</f>
        <v>336109.37215411291</v>
      </c>
      <c r="F23" s="610">
        <f>SUM(F12:F22)</f>
        <v>8600</v>
      </c>
      <c r="G23" s="611">
        <f>E23+F23</f>
        <v>344709.37215411291</v>
      </c>
      <c r="I23" s="997" t="s">
        <v>793</v>
      </c>
      <c r="J23" s="998"/>
      <c r="K23" s="649"/>
    </row>
    <row r="24" spans="1:15" ht="15" thickBot="1" x14ac:dyDescent="0.35">
      <c r="A24" s="1015" t="s">
        <v>661</v>
      </c>
      <c r="B24" s="1016"/>
      <c r="C24" s="1016"/>
      <c r="D24" s="606"/>
      <c r="E24" s="607"/>
      <c r="F24" s="607"/>
      <c r="G24" s="608"/>
      <c r="I24" s="650"/>
      <c r="J24" s="651">
        <v>96.06</v>
      </c>
      <c r="K24" s="389"/>
    </row>
    <row r="25" spans="1:15" ht="14.4" thickBot="1" x14ac:dyDescent="0.3">
      <c r="A25" s="904"/>
      <c r="B25" s="1013" t="s">
        <v>653</v>
      </c>
      <c r="C25" s="1014"/>
      <c r="E25" s="318">
        <f>'Costo Salarial'!K6</f>
        <v>79413.72008191199</v>
      </c>
      <c r="G25" s="322"/>
    </row>
    <row r="26" spans="1:15" ht="14.4" thickBot="1" x14ac:dyDescent="0.3">
      <c r="A26" s="904"/>
      <c r="B26" s="1013" t="s">
        <v>689</v>
      </c>
      <c r="C26" s="1014"/>
      <c r="D26" s="321">
        <v>5.0000000000000001E-3</v>
      </c>
      <c r="F26" s="316">
        <f>((AVERAGE(K16:O16)*Mercado!G6)*D26)</f>
        <v>34675.912967575758</v>
      </c>
      <c r="G26" s="322"/>
      <c r="J26" s="653" t="s">
        <v>797</v>
      </c>
      <c r="K26" s="652">
        <v>0.6</v>
      </c>
    </row>
    <row r="27" spans="1:15" x14ac:dyDescent="0.25">
      <c r="A27" s="904"/>
      <c r="B27" s="1013" t="s">
        <v>691</v>
      </c>
      <c r="C27" s="1014"/>
      <c r="E27" s="318">
        <v>71400</v>
      </c>
      <c r="G27" s="322"/>
    </row>
    <row r="28" spans="1:15" x14ac:dyDescent="0.25">
      <c r="A28" s="904"/>
      <c r="B28" s="1013" t="s">
        <v>690</v>
      </c>
      <c r="C28" s="1014"/>
      <c r="D28" s="320">
        <v>1300</v>
      </c>
      <c r="F28" s="318">
        <f>D28*3</f>
        <v>3900</v>
      </c>
      <c r="G28" s="322"/>
    </row>
    <row r="29" spans="1:15" x14ac:dyDescent="0.25">
      <c r="A29" s="904"/>
      <c r="B29" s="1013" t="s">
        <v>692</v>
      </c>
      <c r="C29" s="1014"/>
      <c r="D29" s="320">
        <v>318</v>
      </c>
      <c r="F29" s="318">
        <f>D29*3</f>
        <v>954</v>
      </c>
      <c r="G29" s="322"/>
      <c r="L29" s="447"/>
      <c r="M29" s="989"/>
      <c r="N29" s="990"/>
      <c r="O29" s="277"/>
    </row>
    <row r="30" spans="1:15" ht="15" thickBot="1" x14ac:dyDescent="0.35">
      <c r="A30" s="1017" t="s">
        <v>630</v>
      </c>
      <c r="B30" s="1018"/>
      <c r="C30" s="1018"/>
      <c r="D30" s="612"/>
      <c r="E30" s="610">
        <f>SUM(E25:E29)</f>
        <v>150813.720081912</v>
      </c>
      <c r="F30" s="610">
        <f>SUM(F25:F29)</f>
        <v>39529.912967575758</v>
      </c>
      <c r="G30" s="611">
        <f>E30+F30</f>
        <v>190343.63304948778</v>
      </c>
    </row>
    <row r="31" spans="1:15" ht="14.4" x14ac:dyDescent="0.3">
      <c r="A31" s="1015" t="s">
        <v>699</v>
      </c>
      <c r="B31" s="1016"/>
      <c r="C31" s="1016"/>
      <c r="D31" s="606"/>
      <c r="E31" s="607"/>
      <c r="F31" s="607"/>
      <c r="G31" s="608"/>
    </row>
    <row r="32" spans="1:15" x14ac:dyDescent="0.25">
      <c r="A32" s="904"/>
      <c r="B32" s="1013" t="s">
        <v>700</v>
      </c>
      <c r="C32" s="1014"/>
      <c r="E32" s="318">
        <f>G68/12</f>
        <v>548.95783333333338</v>
      </c>
      <c r="G32" s="322"/>
      <c r="J32" s="284"/>
      <c r="K32" s="277"/>
    </row>
    <row r="33" spans="1:12" x14ac:dyDescent="0.25">
      <c r="A33" s="904"/>
      <c r="B33" s="1013" t="s">
        <v>707</v>
      </c>
      <c r="C33" s="1014"/>
      <c r="E33" s="318">
        <v>2000</v>
      </c>
      <c r="G33" s="322"/>
    </row>
    <row r="34" spans="1:12" x14ac:dyDescent="0.25">
      <c r="A34" s="904"/>
      <c r="B34" s="1013" t="s">
        <v>671</v>
      </c>
      <c r="C34" s="1014"/>
      <c r="E34" s="318">
        <f>Inversiones!J8/12</f>
        <v>1922.3824444444444</v>
      </c>
      <c r="G34" s="322"/>
      <c r="J34" s="284"/>
      <c r="K34" s="277"/>
      <c r="L34" s="316"/>
    </row>
    <row r="35" spans="1:12" ht="15" thickBot="1" x14ac:dyDescent="0.35">
      <c r="A35" s="1017" t="s">
        <v>630</v>
      </c>
      <c r="B35" s="1018"/>
      <c r="C35" s="1018"/>
      <c r="D35" s="609"/>
      <c r="E35" s="610">
        <f>SUM(E32:E34)</f>
        <v>4471.3402777777774</v>
      </c>
      <c r="F35" s="610">
        <f>SUM(F32:F34)</f>
        <v>0</v>
      </c>
      <c r="G35" s="611">
        <f>E35+F35</f>
        <v>4471.3402777777774</v>
      </c>
      <c r="J35" s="284"/>
      <c r="L35" s="316"/>
    </row>
    <row r="36" spans="1:12" ht="18.600000000000001" customHeight="1" thickBot="1" x14ac:dyDescent="0.3">
      <c r="A36" s="1019" t="s">
        <v>706</v>
      </c>
      <c r="B36" s="1020"/>
      <c r="C36" s="1020"/>
      <c r="D36" s="613"/>
      <c r="E36" s="614">
        <f>E10+E23+E30+E35</f>
        <v>1512644.520233141</v>
      </c>
      <c r="F36" s="615">
        <f>F10+F23+F30+F35</f>
        <v>2964998.3126337007</v>
      </c>
      <c r="G36" s="616">
        <f>G10+G23+G30+G35</f>
        <v>4477642.8328668419</v>
      </c>
      <c r="J36" s="284"/>
      <c r="L36" s="316"/>
    </row>
    <row r="37" spans="1:12" x14ac:dyDescent="0.25">
      <c r="D37" s="382"/>
      <c r="E37" s="383"/>
      <c r="F37" s="383"/>
      <c r="G37" s="383"/>
      <c r="J37" s="284"/>
      <c r="K37" s="316"/>
    </row>
    <row r="38" spans="1:12" x14ac:dyDescent="0.25">
      <c r="D38" s="221"/>
      <c r="E38" s="384"/>
      <c r="F38" s="384"/>
      <c r="G38" s="384"/>
      <c r="J38" s="284"/>
    </row>
    <row r="39" spans="1:12" x14ac:dyDescent="0.25">
      <c r="D39" s="617" t="s">
        <v>667</v>
      </c>
      <c r="E39" s="617"/>
      <c r="F39" s="617"/>
      <c r="G39" s="617"/>
      <c r="H39" s="617"/>
    </row>
    <row r="40" spans="1:12" x14ac:dyDescent="0.25">
      <c r="D40" s="617" t="s">
        <v>669</v>
      </c>
      <c r="E40" s="617"/>
      <c r="F40" s="618">
        <f>Inversiones!J2/12</f>
        <v>93028.108579201114</v>
      </c>
      <c r="G40" s="617"/>
      <c r="H40" s="617"/>
    </row>
    <row r="41" spans="1:12" x14ac:dyDescent="0.25">
      <c r="D41" s="617" t="s">
        <v>665</v>
      </c>
      <c r="E41" s="617"/>
      <c r="F41" s="618" cm="1">
        <f t="array" ref="F41:G41">'Costos Energía'!C46:D46</f>
        <v>34587.300668549993</v>
      </c>
      <c r="G41" s="617">
        <v>0</v>
      </c>
      <c r="H41" s="617"/>
    </row>
    <row r="42" spans="1:12" x14ac:dyDescent="0.25">
      <c r="D42" s="617"/>
      <c r="E42" s="618"/>
      <c r="F42" s="618"/>
      <c r="G42" s="617"/>
      <c r="H42" s="617"/>
    </row>
    <row r="43" spans="1:12" x14ac:dyDescent="0.25">
      <c r="D43" s="617" t="s">
        <v>670</v>
      </c>
      <c r="E43" s="617"/>
      <c r="F43" s="618">
        <f>(Inversiones!E77*0.001)/12</f>
        <v>6172.1789541253356</v>
      </c>
      <c r="G43" s="617"/>
      <c r="H43" s="617"/>
    </row>
    <row r="44" spans="1:12" x14ac:dyDescent="0.25">
      <c r="D44" s="617"/>
      <c r="E44" s="617"/>
      <c r="F44" s="617"/>
      <c r="G44" s="617"/>
      <c r="H44" s="617"/>
    </row>
    <row r="45" spans="1:12" x14ac:dyDescent="0.25">
      <c r="D45" s="617"/>
      <c r="E45" s="617"/>
      <c r="F45" s="617"/>
      <c r="G45" s="617"/>
      <c r="H45" s="617"/>
    </row>
    <row r="46" spans="1:12" x14ac:dyDescent="0.25">
      <c r="D46" s="617"/>
      <c r="E46" s="617"/>
      <c r="F46" s="617"/>
      <c r="G46" s="617"/>
      <c r="H46" s="617"/>
    </row>
    <row r="47" spans="1:12" x14ac:dyDescent="0.25">
      <c r="D47" s="617"/>
      <c r="E47" s="617"/>
      <c r="F47" s="617"/>
      <c r="G47" s="617"/>
      <c r="H47" s="617"/>
    </row>
    <row r="48" spans="1:12" x14ac:dyDescent="0.25">
      <c r="D48" s="617" t="s">
        <v>684</v>
      </c>
      <c r="E48" s="617" t="s">
        <v>666</v>
      </c>
      <c r="F48" s="618">
        <f>SUM(230+279+1528)</f>
        <v>2037</v>
      </c>
      <c r="G48" s="618"/>
      <c r="H48" s="617"/>
    </row>
    <row r="49" spans="4:8" x14ac:dyDescent="0.25">
      <c r="D49" s="617" t="s">
        <v>685</v>
      </c>
      <c r="E49" s="617" t="s">
        <v>686</v>
      </c>
      <c r="F49" s="617"/>
      <c r="G49" s="617"/>
      <c r="H49" s="617"/>
    </row>
    <row r="50" spans="4:8" x14ac:dyDescent="0.25">
      <c r="D50" s="617"/>
      <c r="E50" s="617" t="s">
        <v>687</v>
      </c>
      <c r="F50" s="617"/>
      <c r="G50" s="617"/>
      <c r="H50" s="617"/>
    </row>
    <row r="51" spans="4:8" x14ac:dyDescent="0.25">
      <c r="D51" s="617"/>
      <c r="E51" s="617" t="s">
        <v>688</v>
      </c>
      <c r="F51" s="617"/>
      <c r="G51" s="617"/>
      <c r="H51" s="617"/>
    </row>
    <row r="52" spans="4:8" x14ac:dyDescent="0.25">
      <c r="D52" s="617"/>
      <c r="E52" s="617"/>
      <c r="F52" s="617"/>
      <c r="G52" s="617"/>
      <c r="H52" s="617"/>
    </row>
    <row r="53" spans="4:8" x14ac:dyDescent="0.25">
      <c r="D53" s="617"/>
      <c r="E53" s="617" t="s">
        <v>708</v>
      </c>
      <c r="F53" s="617"/>
      <c r="G53" s="617"/>
      <c r="H53" s="617"/>
    </row>
    <row r="54" spans="4:8" x14ac:dyDescent="0.25">
      <c r="D54" s="617"/>
      <c r="E54" s="617" t="s">
        <v>709</v>
      </c>
      <c r="F54" s="617"/>
      <c r="G54" s="617"/>
      <c r="H54" s="617"/>
    </row>
    <row r="55" spans="4:8" x14ac:dyDescent="0.25">
      <c r="D55" s="617"/>
      <c r="E55" s="617"/>
      <c r="F55" s="617"/>
      <c r="G55" s="617"/>
      <c r="H55" s="617"/>
    </row>
    <row r="56" spans="4:8" x14ac:dyDescent="0.25">
      <c r="D56" s="617"/>
      <c r="E56" s="617"/>
      <c r="F56" s="617"/>
      <c r="G56" s="617"/>
      <c r="H56" s="617"/>
    </row>
    <row r="57" spans="4:8" x14ac:dyDescent="0.25">
      <c r="D57" s="617"/>
      <c r="E57" s="617"/>
      <c r="F57" s="617"/>
      <c r="G57" s="617"/>
      <c r="H57" s="617"/>
    </row>
    <row r="58" spans="4:8" x14ac:dyDescent="0.25">
      <c r="D58" s="617"/>
      <c r="E58" s="617"/>
      <c r="F58" s="617"/>
      <c r="G58" s="617"/>
      <c r="H58" s="617"/>
    </row>
    <row r="59" spans="4:8" x14ac:dyDescent="0.25">
      <c r="D59" s="617"/>
      <c r="E59" s="617"/>
      <c r="F59" s="617"/>
      <c r="G59" s="617"/>
      <c r="H59" s="617"/>
    </row>
    <row r="60" spans="4:8" x14ac:dyDescent="0.25">
      <c r="D60" s="617"/>
      <c r="E60" s="617"/>
      <c r="F60" s="617"/>
      <c r="G60" s="617"/>
      <c r="H60" s="617"/>
    </row>
    <row r="61" spans="4:8" x14ac:dyDescent="0.25">
      <c r="D61" s="617" t="s">
        <v>693</v>
      </c>
      <c r="E61" s="617"/>
      <c r="F61" s="617"/>
      <c r="G61" s="617"/>
      <c r="H61" s="617"/>
    </row>
    <row r="62" spans="4:8" x14ac:dyDescent="0.25">
      <c r="D62" s="617" t="s">
        <v>694</v>
      </c>
      <c r="E62" s="617" t="s">
        <v>695</v>
      </c>
      <c r="F62" s="617"/>
      <c r="G62" s="617"/>
      <c r="H62" s="617"/>
    </row>
    <row r="63" spans="4:8" x14ac:dyDescent="0.25">
      <c r="D63" s="617"/>
      <c r="E63" s="617" t="s">
        <v>696</v>
      </c>
      <c r="F63" s="617"/>
      <c r="G63" s="617"/>
      <c r="H63" s="617"/>
    </row>
    <row r="64" spans="4:8" x14ac:dyDescent="0.25">
      <c r="D64" s="617"/>
      <c r="E64" s="617" t="s">
        <v>697</v>
      </c>
      <c r="F64" s="617"/>
      <c r="G64" s="617"/>
      <c r="H64" s="617"/>
    </row>
    <row r="65" spans="4:8" x14ac:dyDescent="0.25">
      <c r="D65" s="617"/>
      <c r="E65" s="617" t="s">
        <v>698</v>
      </c>
      <c r="F65" s="617"/>
      <c r="G65" s="617"/>
      <c r="H65" s="617"/>
    </row>
    <row r="66" spans="4:8" x14ac:dyDescent="0.25">
      <c r="D66" s="617"/>
      <c r="E66" s="617"/>
      <c r="F66" s="617"/>
      <c r="G66" s="617"/>
      <c r="H66" s="617"/>
    </row>
    <row r="67" spans="4:8" x14ac:dyDescent="0.25">
      <c r="D67" s="617"/>
      <c r="E67" s="617"/>
      <c r="F67" s="617"/>
      <c r="G67" s="617"/>
      <c r="H67" s="617"/>
    </row>
    <row r="68" spans="4:8" x14ac:dyDescent="0.25">
      <c r="D68" s="617" t="s">
        <v>705</v>
      </c>
      <c r="E68" s="617"/>
      <c r="F68" s="617"/>
      <c r="G68" s="618">
        <f>((Inversiones!E60+Inversiones!E61+Inversiones!E62+Inversiones!E63+Inversiones!E59)*0.1)</f>
        <v>6587.4940000000006</v>
      </c>
      <c r="H68" s="617"/>
    </row>
    <row r="69" spans="4:8" x14ac:dyDescent="0.25">
      <c r="D69" s="617" t="s">
        <v>704</v>
      </c>
      <c r="E69" s="617"/>
      <c r="F69" s="617"/>
      <c r="G69" s="617"/>
      <c r="H69" s="617"/>
    </row>
    <row r="70" spans="4:8" x14ac:dyDescent="0.25">
      <c r="D70" s="617" t="s">
        <v>701</v>
      </c>
      <c r="E70" s="617"/>
      <c r="F70" s="617"/>
      <c r="G70" s="617"/>
      <c r="H70" s="617"/>
    </row>
    <row r="71" spans="4:8" x14ac:dyDescent="0.25">
      <c r="D71" s="617"/>
      <c r="E71" s="617"/>
      <c r="F71" s="617"/>
      <c r="G71" s="617"/>
      <c r="H71" s="617"/>
    </row>
    <row r="72" spans="4:8" x14ac:dyDescent="0.25">
      <c r="D72" s="617"/>
      <c r="E72" s="617"/>
      <c r="F72" s="617"/>
      <c r="G72" s="617"/>
      <c r="H72" s="617"/>
    </row>
  </sheetData>
  <mergeCells count="50">
    <mergeCell ref="A3:A9"/>
    <mergeCell ref="B6:B9"/>
    <mergeCell ref="A12:A22"/>
    <mergeCell ref="B19:B22"/>
    <mergeCell ref="A25:A29"/>
    <mergeCell ref="B15:C15"/>
    <mergeCell ref="A23:C23"/>
    <mergeCell ref="A35:C35"/>
    <mergeCell ref="A36:C36"/>
    <mergeCell ref="B18:C18"/>
    <mergeCell ref="A1:C1"/>
    <mergeCell ref="A2:C2"/>
    <mergeCell ref="B3:C3"/>
    <mergeCell ref="B4:C4"/>
    <mergeCell ref="B5:C5"/>
    <mergeCell ref="A11:C11"/>
    <mergeCell ref="A10:C10"/>
    <mergeCell ref="B12:C12"/>
    <mergeCell ref="B13:C13"/>
    <mergeCell ref="B14:C14"/>
    <mergeCell ref="B16:C16"/>
    <mergeCell ref="B17:C17"/>
    <mergeCell ref="B33:C33"/>
    <mergeCell ref="B34:C34"/>
    <mergeCell ref="A24:C24"/>
    <mergeCell ref="B25:C25"/>
    <mergeCell ref="B26:C26"/>
    <mergeCell ref="B27:C27"/>
    <mergeCell ref="B28:C28"/>
    <mergeCell ref="A32:A34"/>
    <mergeCell ref="A30:C30"/>
    <mergeCell ref="B29:C29"/>
    <mergeCell ref="A31:C31"/>
    <mergeCell ref="B32:C32"/>
    <mergeCell ref="I1:O1"/>
    <mergeCell ref="I3:J3"/>
    <mergeCell ref="I8:J8"/>
    <mergeCell ref="I7:J7"/>
    <mergeCell ref="I13:J13"/>
    <mergeCell ref="I14:J14"/>
    <mergeCell ref="I2:J2"/>
    <mergeCell ref="I4:I6"/>
    <mergeCell ref="I9:I12"/>
    <mergeCell ref="I18:J18"/>
    <mergeCell ref="I20:J20"/>
    <mergeCell ref="M29:N29"/>
    <mergeCell ref="I16:J16"/>
    <mergeCell ref="I17:J17"/>
    <mergeCell ref="I21:J21"/>
    <mergeCell ref="I23:J23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22D7C-B77C-41A6-BC94-C4F04083EAFE}">
  <dimension ref="B1:N27"/>
  <sheetViews>
    <sheetView topLeftCell="A2" workbookViewId="0">
      <selection activeCell="K22" sqref="K22:L23"/>
    </sheetView>
  </sheetViews>
  <sheetFormatPr baseColWidth="10" defaultRowHeight="13.8" x14ac:dyDescent="0.25"/>
  <cols>
    <col min="3" max="3" width="13.59765625" bestFit="1" customWidth="1"/>
    <col min="4" max="4" width="15.09765625" bestFit="1" customWidth="1"/>
    <col min="5" max="6" width="14.59765625" bestFit="1" customWidth="1"/>
    <col min="7" max="7" width="18.09765625" customWidth="1"/>
    <col min="10" max="10" width="8.8984375" customWidth="1"/>
    <col min="11" max="11" width="10.8984375" customWidth="1"/>
    <col min="12" max="12" width="15.09765625" customWidth="1"/>
    <col min="14" max="14" width="14.09765625" bestFit="1" customWidth="1"/>
  </cols>
  <sheetData>
    <row r="1" spans="2:14" ht="14.4" thickBot="1" x14ac:dyDescent="0.3"/>
    <row r="2" spans="2:14" ht="14.4" thickBot="1" x14ac:dyDescent="0.3">
      <c r="B2" s="1024" t="s">
        <v>798</v>
      </c>
      <c r="C2" s="1025"/>
      <c r="D2" s="1025"/>
      <c r="E2" s="1025"/>
      <c r="F2" s="1025"/>
      <c r="G2" s="1026"/>
      <c r="I2" s="425"/>
      <c r="J2" s="425"/>
    </row>
    <row r="3" spans="2:14" ht="28.2" thickBot="1" x14ac:dyDescent="0.3">
      <c r="B3" s="421" t="s">
        <v>799</v>
      </c>
      <c r="C3" s="422" t="s">
        <v>800</v>
      </c>
      <c r="D3" s="422" t="s">
        <v>801</v>
      </c>
      <c r="E3" s="422" t="s">
        <v>17</v>
      </c>
      <c r="F3" s="422" t="s">
        <v>802</v>
      </c>
      <c r="G3" s="423" t="s">
        <v>803</v>
      </c>
      <c r="H3" s="392"/>
    </row>
    <row r="4" spans="2:14" x14ac:dyDescent="0.25">
      <c r="B4" s="300" t="s">
        <v>2</v>
      </c>
      <c r="C4" s="418">
        <f>'Costos Totales'!K16</f>
        <v>2979702.8883079989</v>
      </c>
      <c r="D4" s="291">
        <f>'Costos Totales'!K7</f>
        <v>1230988.8451413752</v>
      </c>
      <c r="E4" s="419">
        <v>0.21</v>
      </c>
      <c r="F4" s="418">
        <f>C4-D4</f>
        <v>1748714.0431666237</v>
      </c>
      <c r="G4" s="420">
        <f>F4*E4</f>
        <v>367229.94906499097</v>
      </c>
      <c r="I4" s="1053" t="s">
        <v>807</v>
      </c>
      <c r="J4" s="1054"/>
      <c r="K4" s="1049">
        <f>K13/G9</f>
        <v>10.511013933060333</v>
      </c>
      <c r="L4" s="1050"/>
    </row>
    <row r="5" spans="2:14" x14ac:dyDescent="0.25">
      <c r="B5" s="263" t="s">
        <v>8</v>
      </c>
      <c r="C5" s="400">
        <f>'Costos Totales'!L16</f>
        <v>2911486.9739180608</v>
      </c>
      <c r="D5" s="279">
        <f>'Costos Totales'!L7</f>
        <v>1188353.8986476641</v>
      </c>
      <c r="E5" s="401">
        <v>0.155</v>
      </c>
      <c r="F5" s="400">
        <f t="shared" ref="F5:F8" si="0">C5-D5</f>
        <v>1723133.0752703967</v>
      </c>
      <c r="G5" s="403">
        <f t="shared" ref="G5:G8" si="1">F5*E5</f>
        <v>267085.62666691147</v>
      </c>
      <c r="I5" s="1055"/>
      <c r="J5" s="1056"/>
      <c r="K5" s="1051"/>
      <c r="L5" s="1052"/>
      <c r="N5" s="277">
        <f>AVERAGE(D4:D8)</f>
        <v>1177740.2535156503</v>
      </c>
    </row>
    <row r="6" spans="2:14" x14ac:dyDescent="0.25">
      <c r="B6" s="263" t="s">
        <v>9</v>
      </c>
      <c r="C6" s="400">
        <f>'Costos Totales'!M16</f>
        <v>3206297.9816523241</v>
      </c>
      <c r="D6" s="279">
        <f>'Costos Totales'!M7</f>
        <v>1372610.7784815785</v>
      </c>
      <c r="E6" s="401">
        <v>0.26</v>
      </c>
      <c r="F6" s="400">
        <f t="shared" si="0"/>
        <v>1833687.2031707456</v>
      </c>
      <c r="G6" s="403">
        <f t="shared" si="1"/>
        <v>476758.6728243939</v>
      </c>
      <c r="I6" s="1057" t="s">
        <v>808</v>
      </c>
      <c r="J6" s="1056"/>
      <c r="K6" s="1031">
        <f>E18</f>
        <v>32151349.398720715</v>
      </c>
      <c r="L6" s="1032"/>
    </row>
    <row r="7" spans="2:14" ht="14.4" thickBot="1" x14ac:dyDescent="0.3">
      <c r="B7" s="263" t="s">
        <v>10</v>
      </c>
      <c r="C7" s="400">
        <f>'Costos Totales'!N16</f>
        <v>3312317.5386065701</v>
      </c>
      <c r="D7" s="279">
        <f>'Costos Totales'!N7</f>
        <v>1438873.0015779822</v>
      </c>
      <c r="E7" s="401">
        <v>0.19</v>
      </c>
      <c r="F7" s="400">
        <f t="shared" si="0"/>
        <v>1873444.5370285879</v>
      </c>
      <c r="G7" s="403">
        <f t="shared" si="1"/>
        <v>355954.4620354317</v>
      </c>
      <c r="I7" s="1058"/>
      <c r="J7" s="1059"/>
      <c r="K7" s="1033"/>
      <c r="L7" s="1034"/>
      <c r="N7" s="316">
        <f>AVERAGE(D13:D17)</f>
        <v>2894505.1417068387</v>
      </c>
    </row>
    <row r="8" spans="2:14" ht="14.4" thickBot="1" x14ac:dyDescent="0.3">
      <c r="B8" s="404" t="s">
        <v>12</v>
      </c>
      <c r="C8" s="406">
        <f>'Costos Totales'!O16</f>
        <v>2062720.3260492408</v>
      </c>
      <c r="D8" s="411">
        <f>'Costos Totales'!O7</f>
        <v>657874.74372965144</v>
      </c>
      <c r="E8" s="412">
        <v>0.185</v>
      </c>
      <c r="F8" s="406">
        <f t="shared" si="0"/>
        <v>1404845.5823195893</v>
      </c>
      <c r="G8" s="407">
        <f t="shared" si="1"/>
        <v>259896.43272912403</v>
      </c>
    </row>
    <row r="9" spans="2:14" ht="14.4" thickBot="1" x14ac:dyDescent="0.3">
      <c r="E9" s="413">
        <f>SUM(E4:E8)</f>
        <v>1</v>
      </c>
      <c r="G9" s="414">
        <f>SUM(G4:G8)</f>
        <v>1726925.1433208522</v>
      </c>
    </row>
    <row r="10" spans="2:14" ht="14.4" thickBot="1" x14ac:dyDescent="0.3"/>
    <row r="11" spans="2:14" ht="14.4" thickBot="1" x14ac:dyDescent="0.3">
      <c r="B11" s="1024" t="s">
        <v>812</v>
      </c>
      <c r="C11" s="1025"/>
      <c r="D11" s="1025"/>
      <c r="E11" s="1025"/>
      <c r="F11" s="1026"/>
    </row>
    <row r="12" spans="2:14" ht="28.2" thickBot="1" x14ac:dyDescent="0.3">
      <c r="B12" s="421" t="s">
        <v>799</v>
      </c>
      <c r="C12" s="422" t="s">
        <v>804</v>
      </c>
      <c r="D12" s="422" t="s">
        <v>800</v>
      </c>
      <c r="E12" s="422" t="s">
        <v>805</v>
      </c>
      <c r="F12" s="423" t="s">
        <v>806</v>
      </c>
      <c r="G12" s="392"/>
    </row>
    <row r="13" spans="2:14" x14ac:dyDescent="0.25">
      <c r="B13" s="300" t="s">
        <v>2</v>
      </c>
      <c r="C13" s="424">
        <v>2</v>
      </c>
      <c r="D13" s="418">
        <f>C4</f>
        <v>2979702.8883079989</v>
      </c>
      <c r="E13" s="418">
        <f>D13*C13</f>
        <v>5959405.7766159978</v>
      </c>
      <c r="F13" s="420">
        <f>C13*F4</f>
        <v>3497428.0863332474</v>
      </c>
      <c r="I13" s="1043" t="s">
        <v>809</v>
      </c>
      <c r="J13" s="1044"/>
      <c r="K13" s="1039">
        <f>'Costos Totales'!E36*12</f>
        <v>18151734.242797691</v>
      </c>
      <c r="L13" s="1040"/>
    </row>
    <row r="14" spans="2:14" x14ac:dyDescent="0.25">
      <c r="B14" s="263" t="s">
        <v>8</v>
      </c>
      <c r="C14" s="402">
        <v>2</v>
      </c>
      <c r="D14" s="400">
        <f>C5</f>
        <v>2911486.9739180608</v>
      </c>
      <c r="E14" s="400">
        <f t="shared" ref="E14:E17" si="2">D14*C14</f>
        <v>5822973.9478361215</v>
      </c>
      <c r="F14" s="403">
        <f>C14*F5</f>
        <v>3446266.1505407933</v>
      </c>
      <c r="I14" s="1045" t="s">
        <v>810</v>
      </c>
      <c r="J14" s="1046"/>
      <c r="K14" s="1041">
        <f>Inversiones!G77</f>
        <v>1366815.2539504133</v>
      </c>
      <c r="L14" s="1042"/>
    </row>
    <row r="15" spans="2:14" ht="14.4" thickBot="1" x14ac:dyDescent="0.3">
      <c r="B15" s="263" t="s">
        <v>9</v>
      </c>
      <c r="C15" s="402">
        <v>3</v>
      </c>
      <c r="D15" s="400">
        <f>C6</f>
        <v>3206297.9816523241</v>
      </c>
      <c r="E15" s="400">
        <f t="shared" si="2"/>
        <v>9618893.9449569732</v>
      </c>
      <c r="F15" s="403">
        <f>C15*F6</f>
        <v>5501061.6095122369</v>
      </c>
      <c r="I15" s="1047" t="s">
        <v>811</v>
      </c>
      <c r="J15" s="1048"/>
      <c r="K15" s="655"/>
      <c r="L15" s="654">
        <f>K13-K14</f>
        <v>16784918.988847278</v>
      </c>
    </row>
    <row r="16" spans="2:14" x14ac:dyDescent="0.25">
      <c r="B16" s="263" t="s">
        <v>10</v>
      </c>
      <c r="C16" s="402">
        <v>2</v>
      </c>
      <c r="D16" s="400">
        <f>C7</f>
        <v>3312317.5386065701</v>
      </c>
      <c r="E16" s="400">
        <f t="shared" si="2"/>
        <v>6624635.0772131402</v>
      </c>
      <c r="F16" s="403">
        <f>C16*F7</f>
        <v>3746889.0740571758</v>
      </c>
      <c r="I16" s="284"/>
      <c r="J16" s="284"/>
      <c r="K16" s="276"/>
      <c r="L16" s="276"/>
    </row>
    <row r="17" spans="2:12" ht="14.4" thickBot="1" x14ac:dyDescent="0.3">
      <c r="B17" s="404" t="s">
        <v>12</v>
      </c>
      <c r="C17" s="405">
        <v>2</v>
      </c>
      <c r="D17" s="406">
        <f>C8</f>
        <v>2062720.3260492408</v>
      </c>
      <c r="E17" s="406">
        <f t="shared" si="2"/>
        <v>4125440.6520984815</v>
      </c>
      <c r="F17" s="407">
        <f>C17*F8</f>
        <v>2809691.1646391787</v>
      </c>
      <c r="I17" s="284"/>
      <c r="J17" s="284"/>
      <c r="K17" s="276"/>
      <c r="L17" s="276"/>
    </row>
    <row r="18" spans="2:12" ht="14.4" thickBot="1" x14ac:dyDescent="0.3">
      <c r="C18" s="408">
        <f>SUM(C13:C17)</f>
        <v>11</v>
      </c>
      <c r="E18" s="409">
        <f>SUM(E13:E17)</f>
        <v>32151349.398720715</v>
      </c>
      <c r="F18" s="410">
        <f>SUM(F13:F17)</f>
        <v>19001336.085082632</v>
      </c>
    </row>
    <row r="19" spans="2:12" ht="14.4" thickBot="1" x14ac:dyDescent="0.3"/>
    <row r="20" spans="2:12" ht="14.4" thickBot="1" x14ac:dyDescent="0.3">
      <c r="B20" s="1024" t="s">
        <v>813</v>
      </c>
      <c r="C20" s="1025"/>
      <c r="D20" s="1025"/>
      <c r="E20" s="1025"/>
      <c r="F20" s="1026"/>
    </row>
    <row r="21" spans="2:12" ht="28.2" customHeight="1" thickBot="1" x14ac:dyDescent="0.3">
      <c r="B21" s="421" t="s">
        <v>799</v>
      </c>
      <c r="C21" s="422" t="s">
        <v>804</v>
      </c>
      <c r="D21" s="422" t="s">
        <v>800</v>
      </c>
      <c r="E21" s="422" t="s">
        <v>805</v>
      </c>
      <c r="F21" s="423" t="s">
        <v>806</v>
      </c>
      <c r="I21" s="1035" t="s">
        <v>887</v>
      </c>
      <c r="J21" s="1036"/>
      <c r="K21" s="1037">
        <f>L15/G9</f>
        <v>9.7195405682553915</v>
      </c>
      <c r="L21" s="1038"/>
    </row>
    <row r="22" spans="2:12" x14ac:dyDescent="0.25">
      <c r="B22" s="300" t="s">
        <v>2</v>
      </c>
      <c r="C22" s="424">
        <v>2</v>
      </c>
      <c r="D22" s="418">
        <f>C4</f>
        <v>2979702.8883079989</v>
      </c>
      <c r="E22" s="418">
        <f>D22*C22</f>
        <v>5959405.7766159978</v>
      </c>
      <c r="F22" s="420">
        <f>C22*F4</f>
        <v>3497428.0863332474</v>
      </c>
      <c r="I22" s="1027" t="s">
        <v>888</v>
      </c>
      <c r="J22" s="1028"/>
      <c r="K22" s="1031">
        <f>E27</f>
        <v>29239862.42480265</v>
      </c>
      <c r="L22" s="1032"/>
    </row>
    <row r="23" spans="2:12" ht="14.4" thickBot="1" x14ac:dyDescent="0.3">
      <c r="B23" s="263" t="s">
        <v>8</v>
      </c>
      <c r="C23" s="402">
        <v>1</v>
      </c>
      <c r="D23" s="400">
        <f>C5</f>
        <v>2911486.9739180608</v>
      </c>
      <c r="E23" s="400">
        <f t="shared" ref="E23:E26" si="3">D23*C23</f>
        <v>2911486.9739180608</v>
      </c>
      <c r="F23" s="403">
        <f>C23*F5</f>
        <v>1723133.0752703967</v>
      </c>
      <c r="I23" s="1029"/>
      <c r="J23" s="1030"/>
      <c r="K23" s="1033"/>
      <c r="L23" s="1034"/>
    </row>
    <row r="24" spans="2:12" x14ac:dyDescent="0.25">
      <c r="B24" s="263" t="s">
        <v>9</v>
      </c>
      <c r="C24" s="402">
        <v>3</v>
      </c>
      <c r="D24" s="400">
        <f>C6</f>
        <v>3206297.9816523241</v>
      </c>
      <c r="E24" s="400">
        <f t="shared" si="3"/>
        <v>9618893.9449569732</v>
      </c>
      <c r="F24" s="403">
        <f>C24*F6</f>
        <v>5501061.6095122369</v>
      </c>
    </row>
    <row r="25" spans="2:12" x14ac:dyDescent="0.25">
      <c r="B25" s="263" t="s">
        <v>10</v>
      </c>
      <c r="C25" s="402">
        <v>2</v>
      </c>
      <c r="D25" s="400">
        <f>C7</f>
        <v>3312317.5386065701</v>
      </c>
      <c r="E25" s="400">
        <f t="shared" si="3"/>
        <v>6624635.0772131402</v>
      </c>
      <c r="F25" s="403">
        <f>C25*F7</f>
        <v>3746889.0740571758</v>
      </c>
    </row>
    <row r="26" spans="2:12" ht="14.4" thickBot="1" x14ac:dyDescent="0.3">
      <c r="B26" s="404" t="s">
        <v>12</v>
      </c>
      <c r="C26" s="405">
        <v>2</v>
      </c>
      <c r="D26" s="406">
        <f>C8</f>
        <v>2062720.3260492408</v>
      </c>
      <c r="E26" s="406">
        <f t="shared" si="3"/>
        <v>4125440.6520984815</v>
      </c>
      <c r="F26" s="407">
        <f>C26*F8</f>
        <v>2809691.1646391787</v>
      </c>
    </row>
    <row r="27" spans="2:12" ht="14.4" thickBot="1" x14ac:dyDescent="0.3">
      <c r="C27" s="415">
        <f>SUM(C22:C26)</f>
        <v>10</v>
      </c>
      <c r="E27" s="416">
        <f>SUM(E22:E26)</f>
        <v>29239862.42480265</v>
      </c>
      <c r="F27" s="417">
        <f>SUM(F22:F26)</f>
        <v>17278203.009812236</v>
      </c>
    </row>
  </sheetData>
  <mergeCells count="16">
    <mergeCell ref="K4:L5"/>
    <mergeCell ref="K6:L7"/>
    <mergeCell ref="B2:G2"/>
    <mergeCell ref="B11:F11"/>
    <mergeCell ref="I4:J5"/>
    <mergeCell ref="I6:J7"/>
    <mergeCell ref="K13:L13"/>
    <mergeCell ref="K14:L14"/>
    <mergeCell ref="I13:J13"/>
    <mergeCell ref="I14:J14"/>
    <mergeCell ref="I15:J15"/>
    <mergeCell ref="B20:F20"/>
    <mergeCell ref="I22:J23"/>
    <mergeCell ref="K22:L23"/>
    <mergeCell ref="I21:J21"/>
    <mergeCell ref="K21:L21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99CE9-F9CD-4D2A-B70D-1314BC176433}">
  <dimension ref="B2:O16"/>
  <sheetViews>
    <sheetView tabSelected="1" workbookViewId="0">
      <selection activeCell="F19" sqref="F19"/>
    </sheetView>
  </sheetViews>
  <sheetFormatPr baseColWidth="10" defaultRowHeight="13.8" x14ac:dyDescent="0.25"/>
  <cols>
    <col min="2" max="2" width="11.69921875" customWidth="1"/>
    <col min="3" max="3" width="15.69921875" customWidth="1"/>
    <col min="4" max="4" width="12.09765625" bestFit="1" customWidth="1"/>
    <col min="6" max="6" width="16.69921875" customWidth="1"/>
    <col min="7" max="7" width="12.09765625" bestFit="1" customWidth="1"/>
    <col min="8" max="8" width="15.69921875" customWidth="1"/>
    <col min="11" max="11" width="22.69921875" customWidth="1"/>
  </cols>
  <sheetData>
    <row r="2" spans="2:15" ht="13.95" customHeight="1" x14ac:dyDescent="0.25">
      <c r="B2" s="1085" t="s">
        <v>891</v>
      </c>
      <c r="C2" s="1085"/>
      <c r="D2" s="1085"/>
      <c r="E2" s="732"/>
      <c r="F2" s="1088" t="s">
        <v>910</v>
      </c>
      <c r="G2" s="1088"/>
    </row>
    <row r="3" spans="2:15" ht="13.95" customHeight="1" x14ac:dyDescent="0.25">
      <c r="B3" s="1085"/>
      <c r="C3" s="1085"/>
      <c r="D3" s="1085"/>
      <c r="E3" s="732"/>
      <c r="F3" s="1088"/>
      <c r="G3" s="1088"/>
      <c r="K3" s="526"/>
      <c r="L3" s="526"/>
      <c r="M3" s="526"/>
      <c r="N3" s="526"/>
      <c r="O3" s="526"/>
    </row>
    <row r="4" spans="2:15" x14ac:dyDescent="0.25">
      <c r="B4" s="1086" t="s">
        <v>892</v>
      </c>
      <c r="C4" s="1086"/>
      <c r="D4" s="280">
        <f>H8</f>
        <v>601.38833333333332</v>
      </c>
      <c r="F4" s="282" t="s">
        <v>897</v>
      </c>
      <c r="G4" s="282" t="s">
        <v>21</v>
      </c>
      <c r="H4" s="282" t="s">
        <v>902</v>
      </c>
      <c r="K4" s="526"/>
      <c r="L4" s="526"/>
      <c r="M4" s="526"/>
      <c r="N4" s="526"/>
      <c r="O4" s="526"/>
    </row>
    <row r="5" spans="2:15" x14ac:dyDescent="0.25">
      <c r="B5" s="1086" t="s">
        <v>893</v>
      </c>
      <c r="C5" s="1086"/>
      <c r="D5" s="279">
        <v>2000</v>
      </c>
      <c r="F5" s="282" t="s">
        <v>665</v>
      </c>
      <c r="G5" s="282" t="s">
        <v>900</v>
      </c>
      <c r="H5" s="279">
        <f>'Costos Energía'!B45*('Unidades de Negocio'!L5*5)</f>
        <v>1.3883333333333334</v>
      </c>
      <c r="K5" s="526" t="s">
        <v>903</v>
      </c>
      <c r="L5" s="526">
        <f>'Costos Energía'!F5/60</f>
        <v>0.11333333333333333</v>
      </c>
      <c r="M5" s="526" t="s">
        <v>905</v>
      </c>
      <c r="N5" s="526"/>
      <c r="O5" s="526"/>
    </row>
    <row r="6" spans="2:15" x14ac:dyDescent="0.25">
      <c r="B6" s="1086" t="s">
        <v>907</v>
      </c>
      <c r="C6" s="1086"/>
      <c r="D6" s="278">
        <v>5</v>
      </c>
      <c r="F6" s="282" t="s">
        <v>898</v>
      </c>
      <c r="G6" s="282" t="s">
        <v>901</v>
      </c>
      <c r="H6" s="400">
        <f>L6*N6</f>
        <v>600</v>
      </c>
      <c r="K6" s="526" t="s">
        <v>904</v>
      </c>
      <c r="L6" s="526">
        <v>1</v>
      </c>
      <c r="M6" s="526" t="s">
        <v>901</v>
      </c>
      <c r="N6" s="1090">
        <v>600</v>
      </c>
      <c r="O6" s="526" t="s">
        <v>906</v>
      </c>
    </row>
    <row r="7" spans="2:15" x14ac:dyDescent="0.25">
      <c r="B7" s="1086" t="s">
        <v>894</v>
      </c>
      <c r="C7" s="1086"/>
      <c r="D7" s="278">
        <v>2</v>
      </c>
      <c r="F7" s="282" t="s">
        <v>899</v>
      </c>
      <c r="G7" s="282" t="s">
        <v>901</v>
      </c>
      <c r="H7" s="1089" t="s">
        <v>559</v>
      </c>
      <c r="K7" s="526" t="s">
        <v>904</v>
      </c>
      <c r="L7" s="526">
        <v>360</v>
      </c>
      <c r="M7" s="526" t="s">
        <v>901</v>
      </c>
      <c r="N7" s="1091">
        <v>0.8</v>
      </c>
      <c r="O7" s="526"/>
    </row>
    <row r="8" spans="2:15" x14ac:dyDescent="0.25">
      <c r="B8" s="1086" t="s">
        <v>895</v>
      </c>
      <c r="C8" s="1087"/>
      <c r="D8" s="400">
        <f>(D5*D7-D4*D7)*20</f>
        <v>55944.466666666667</v>
      </c>
      <c r="F8" s="1095" t="s">
        <v>67</v>
      </c>
      <c r="G8" s="1094"/>
      <c r="H8" s="280">
        <f>SUM(H5:H7)</f>
        <v>601.38833333333332</v>
      </c>
      <c r="K8" s="526"/>
      <c r="L8" s="526"/>
      <c r="M8" s="526"/>
      <c r="N8" s="526"/>
      <c r="O8" s="526"/>
    </row>
    <row r="9" spans="2:15" x14ac:dyDescent="0.25">
      <c r="B9" s="1086" t="s">
        <v>896</v>
      </c>
      <c r="C9" s="1087"/>
      <c r="D9" s="400">
        <f>D8*12</f>
        <v>671333.6</v>
      </c>
      <c r="K9" s="526"/>
      <c r="L9" s="526"/>
      <c r="M9" s="526" t="s">
        <v>908</v>
      </c>
      <c r="N9" s="1091">
        <f>L7*N7</f>
        <v>288</v>
      </c>
      <c r="O9" s="526"/>
    </row>
    <row r="12" spans="2:15" x14ac:dyDescent="0.25">
      <c r="F12" s="1092" t="s">
        <v>909</v>
      </c>
      <c r="G12" s="1092"/>
    </row>
    <row r="13" spans="2:15" x14ac:dyDescent="0.25">
      <c r="F13" s="1096" t="s">
        <v>902</v>
      </c>
      <c r="G13" s="279">
        <f>D4+N9</f>
        <v>889.38833333333332</v>
      </c>
    </row>
    <row r="14" spans="2:15" x14ac:dyDescent="0.25">
      <c r="F14" s="1096" t="s">
        <v>894</v>
      </c>
      <c r="G14" s="278">
        <f>12*9</f>
        <v>108</v>
      </c>
    </row>
    <row r="15" spans="2:15" x14ac:dyDescent="0.25">
      <c r="F15" s="1093" t="s">
        <v>565</v>
      </c>
      <c r="G15" s="400">
        <f>G14*G13</f>
        <v>96053.94</v>
      </c>
    </row>
    <row r="16" spans="2:15" x14ac:dyDescent="0.25">
      <c r="F16" s="1097" t="s">
        <v>911</v>
      </c>
      <c r="G16" s="524">
        <f>G14*D5-G15</f>
        <v>119946.06</v>
      </c>
    </row>
  </sheetData>
  <mergeCells count="10">
    <mergeCell ref="F12:G12"/>
    <mergeCell ref="F2:G3"/>
    <mergeCell ref="F8:G8"/>
    <mergeCell ref="B8:C8"/>
    <mergeCell ref="B9:C9"/>
    <mergeCell ref="B2:D3"/>
    <mergeCell ref="B4:C4"/>
    <mergeCell ref="B5:C5"/>
    <mergeCell ref="B6:C6"/>
    <mergeCell ref="B7:C7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5CB39-C9DC-4106-AD40-A12C650E0BC8}">
  <dimension ref="B1:AC126"/>
  <sheetViews>
    <sheetView topLeftCell="E76" zoomScaleNormal="100" workbookViewId="0">
      <selection activeCell="M88" sqref="M88"/>
    </sheetView>
  </sheetViews>
  <sheetFormatPr baseColWidth="10" defaultRowHeight="13.8" x14ac:dyDescent="0.25"/>
  <cols>
    <col min="1" max="1" width="3.69921875" customWidth="1"/>
    <col min="2" max="2" width="29.09765625" bestFit="1" customWidth="1"/>
    <col min="3" max="4" width="19.69921875" customWidth="1"/>
    <col min="5" max="8" width="15.09765625" bestFit="1" customWidth="1"/>
    <col min="9" max="13" width="16.19921875" bestFit="1" customWidth="1"/>
    <col min="14" max="14" width="13.8984375" bestFit="1" customWidth="1"/>
    <col min="16" max="16" width="22.19921875" bestFit="1" customWidth="1"/>
    <col min="17" max="17" width="15.09765625" bestFit="1" customWidth="1"/>
    <col min="18" max="18" width="11.69921875" customWidth="1"/>
    <col min="19" max="19" width="12.3984375" customWidth="1"/>
    <col min="20" max="21" width="13.8984375" bestFit="1" customWidth="1"/>
    <col min="22" max="22" width="15" bestFit="1" customWidth="1"/>
    <col min="23" max="23" width="13.69921875" bestFit="1" customWidth="1"/>
    <col min="24" max="25" width="12.5" bestFit="1" customWidth="1"/>
    <col min="26" max="26" width="12.8984375" bestFit="1" customWidth="1"/>
    <col min="27" max="28" width="12.5" bestFit="1" customWidth="1"/>
    <col min="29" max="29" width="14.5" bestFit="1" customWidth="1"/>
  </cols>
  <sheetData>
    <row r="1" spans="2:28" ht="14.4" thickBot="1" x14ac:dyDescent="0.3"/>
    <row r="2" spans="2:28" ht="29.4" thickBot="1" x14ac:dyDescent="0.35">
      <c r="B2" s="711" t="s">
        <v>799</v>
      </c>
      <c r="C2" s="712" t="s">
        <v>800</v>
      </c>
      <c r="D2" s="712" t="s">
        <v>17</v>
      </c>
      <c r="E2" s="712" t="s">
        <v>20</v>
      </c>
      <c r="F2" s="713" t="s">
        <v>821</v>
      </c>
      <c r="G2" s="487"/>
      <c r="H2" s="1067" t="s">
        <v>818</v>
      </c>
      <c r="I2" s="1068"/>
      <c r="J2" s="714">
        <v>29</v>
      </c>
    </row>
    <row r="3" spans="2:28" ht="14.4" x14ac:dyDescent="0.3">
      <c r="B3" s="715" t="s">
        <v>2</v>
      </c>
      <c r="C3" s="716">
        <f>'Costos Totales'!K16</f>
        <v>2979702.8883079989</v>
      </c>
      <c r="D3" s="717">
        <v>0.21</v>
      </c>
      <c r="E3" s="718">
        <f>$J$2*D3</f>
        <v>6.09</v>
      </c>
      <c r="F3" s="719">
        <f>C3*6</f>
        <v>17878217.329847991</v>
      </c>
      <c r="G3" s="487"/>
      <c r="H3" s="1069" t="s">
        <v>820</v>
      </c>
      <c r="I3" s="1070"/>
      <c r="J3" s="1073">
        <f>F8/12</f>
        <v>7113504.6617187047</v>
      </c>
      <c r="P3" s="1066" t="s">
        <v>810</v>
      </c>
      <c r="Q3" s="1066"/>
      <c r="R3" s="1066"/>
      <c r="S3" s="1066"/>
      <c r="T3" s="1066"/>
      <c r="U3" s="1066"/>
      <c r="V3" s="1066"/>
      <c r="W3" s="1066"/>
      <c r="X3" s="1066"/>
      <c r="Y3" s="1066"/>
      <c r="Z3" s="1066"/>
      <c r="AA3" s="1066"/>
      <c r="AB3" s="1066"/>
    </row>
    <row r="4" spans="2:28" ht="15" thickBot="1" x14ac:dyDescent="0.35">
      <c r="B4" s="720" t="s">
        <v>8</v>
      </c>
      <c r="C4" s="696">
        <f>'Costos Totales'!L16</f>
        <v>2911486.9739180608</v>
      </c>
      <c r="D4" s="721">
        <v>0.155</v>
      </c>
      <c r="E4" s="718">
        <f>$J$2*D4</f>
        <v>4.4950000000000001</v>
      </c>
      <c r="F4" s="722">
        <f>C4*4</f>
        <v>11645947.895672243</v>
      </c>
      <c r="G4" s="487"/>
      <c r="H4" s="1071"/>
      <c r="I4" s="1072"/>
      <c r="J4" s="1074"/>
      <c r="P4" s="445" t="s">
        <v>14</v>
      </c>
      <c r="Q4" s="445" t="s">
        <v>800</v>
      </c>
      <c r="R4" s="445" t="s">
        <v>842</v>
      </c>
      <c r="S4" s="446">
        <v>1</v>
      </c>
      <c r="T4" s="446">
        <v>2</v>
      </c>
      <c r="U4" s="446">
        <v>3</v>
      </c>
      <c r="V4" s="446">
        <v>4</v>
      </c>
      <c r="W4" s="446">
        <v>5</v>
      </c>
      <c r="X4" s="446">
        <v>6</v>
      </c>
      <c r="Y4" s="446">
        <v>7</v>
      </c>
      <c r="Z4" s="446">
        <v>8</v>
      </c>
      <c r="AA4" s="446">
        <v>9</v>
      </c>
      <c r="AB4" s="446">
        <v>10</v>
      </c>
    </row>
    <row r="5" spans="2:28" ht="14.4" x14ac:dyDescent="0.3">
      <c r="B5" s="720" t="s">
        <v>9</v>
      </c>
      <c r="C5" s="696">
        <f>'Costos Totales'!M16</f>
        <v>3206297.9816523241</v>
      </c>
      <c r="D5" s="721">
        <v>0.26</v>
      </c>
      <c r="E5" s="718">
        <f>$J$2*D5</f>
        <v>7.54</v>
      </c>
      <c r="F5" s="722">
        <f>C5*8</f>
        <v>25650383.853218593</v>
      </c>
      <c r="G5" s="487"/>
      <c r="H5" s="487"/>
      <c r="I5" s="487"/>
      <c r="J5" s="487"/>
      <c r="P5" s="662" t="s">
        <v>843</v>
      </c>
      <c r="Q5" s="663">
        <f>Inversiones!E3+Inversiones!E4</f>
        <v>27876335</v>
      </c>
      <c r="R5" s="662">
        <v>50</v>
      </c>
      <c r="S5" s="693">
        <f t="shared" ref="S5:AB5" si="0">$Q$5/$R$5</f>
        <v>557526.69999999995</v>
      </c>
      <c r="T5" s="693">
        <f t="shared" si="0"/>
        <v>557526.69999999995</v>
      </c>
      <c r="U5" s="693">
        <f t="shared" si="0"/>
        <v>557526.69999999995</v>
      </c>
      <c r="V5" s="693">
        <f t="shared" si="0"/>
        <v>557526.69999999995</v>
      </c>
      <c r="W5" s="693">
        <f t="shared" si="0"/>
        <v>557526.69999999995</v>
      </c>
      <c r="X5" s="693">
        <f t="shared" si="0"/>
        <v>557526.69999999995</v>
      </c>
      <c r="Y5" s="693">
        <f t="shared" si="0"/>
        <v>557526.69999999995</v>
      </c>
      <c r="Z5" s="693">
        <f t="shared" si="0"/>
        <v>557526.69999999995</v>
      </c>
      <c r="AA5" s="693">
        <f t="shared" si="0"/>
        <v>557526.69999999995</v>
      </c>
      <c r="AB5" s="693">
        <f t="shared" si="0"/>
        <v>557526.69999999995</v>
      </c>
    </row>
    <row r="6" spans="2:28" ht="14.4" x14ac:dyDescent="0.3">
      <c r="B6" s="720" t="s">
        <v>10</v>
      </c>
      <c r="C6" s="696">
        <f>'Costos Totales'!N16</f>
        <v>3312317.5386065701</v>
      </c>
      <c r="D6" s="721">
        <v>0.19</v>
      </c>
      <c r="E6" s="718">
        <f>$J$2*D6</f>
        <v>5.51</v>
      </c>
      <c r="F6" s="722">
        <f>C6*6</f>
        <v>19873905.231639422</v>
      </c>
      <c r="G6" s="487"/>
      <c r="H6" s="487"/>
      <c r="I6" s="487"/>
      <c r="J6" s="487"/>
      <c r="P6" s="662" t="s">
        <v>844</v>
      </c>
      <c r="Q6" s="663">
        <f>SUM(Inversiones!E16:'Inversiones'!E31)+Inversiones!E74</f>
        <v>463982.00999999995</v>
      </c>
      <c r="R6" s="662">
        <v>10</v>
      </c>
      <c r="S6" s="693">
        <f t="shared" ref="S6:AB6" si="1">$Q$6/$R$6</f>
        <v>46398.200999999994</v>
      </c>
      <c r="T6" s="693">
        <f t="shared" si="1"/>
        <v>46398.200999999994</v>
      </c>
      <c r="U6" s="693">
        <f t="shared" si="1"/>
        <v>46398.200999999994</v>
      </c>
      <c r="V6" s="693">
        <f t="shared" si="1"/>
        <v>46398.200999999994</v>
      </c>
      <c r="W6" s="693">
        <f t="shared" si="1"/>
        <v>46398.200999999994</v>
      </c>
      <c r="X6" s="693">
        <f t="shared" si="1"/>
        <v>46398.200999999994</v>
      </c>
      <c r="Y6" s="693">
        <f t="shared" si="1"/>
        <v>46398.200999999994</v>
      </c>
      <c r="Z6" s="693">
        <f t="shared" si="1"/>
        <v>46398.200999999994</v>
      </c>
      <c r="AA6" s="693">
        <f t="shared" si="1"/>
        <v>46398.200999999994</v>
      </c>
      <c r="AB6" s="693">
        <f t="shared" si="1"/>
        <v>46398.200999999994</v>
      </c>
    </row>
    <row r="7" spans="2:28" ht="15" thickBot="1" x14ac:dyDescent="0.35">
      <c r="B7" s="723" t="s">
        <v>12</v>
      </c>
      <c r="C7" s="724">
        <f>'Costos Totales'!O16</f>
        <v>2062720.3260492408</v>
      </c>
      <c r="D7" s="725">
        <v>0.185</v>
      </c>
      <c r="E7" s="726">
        <f>$J$2*D7</f>
        <v>5.3650000000000002</v>
      </c>
      <c r="F7" s="727">
        <f>C7*5</f>
        <v>10313601.630246203</v>
      </c>
      <c r="G7" s="487"/>
      <c r="H7" s="487"/>
      <c r="I7" s="487"/>
      <c r="J7" s="487"/>
      <c r="P7" s="662" t="s">
        <v>845</v>
      </c>
      <c r="Q7" s="663">
        <f>Inversiones!E14+Inversiones!E15+SUM(Inversiones!E32:E33)+Inversiones!E35+Inversiones!E36</f>
        <v>2018066.12</v>
      </c>
      <c r="R7" s="662">
        <v>10</v>
      </c>
      <c r="S7" s="693">
        <f t="shared" ref="S7:AB7" si="2">$Q$7/$R$7</f>
        <v>201806.61200000002</v>
      </c>
      <c r="T7" s="693">
        <f t="shared" si="2"/>
        <v>201806.61200000002</v>
      </c>
      <c r="U7" s="693">
        <f t="shared" si="2"/>
        <v>201806.61200000002</v>
      </c>
      <c r="V7" s="693">
        <f t="shared" si="2"/>
        <v>201806.61200000002</v>
      </c>
      <c r="W7" s="693">
        <f t="shared" si="2"/>
        <v>201806.61200000002</v>
      </c>
      <c r="X7" s="693">
        <f t="shared" si="2"/>
        <v>201806.61200000002</v>
      </c>
      <c r="Y7" s="693">
        <f t="shared" si="2"/>
        <v>201806.61200000002</v>
      </c>
      <c r="Z7" s="693">
        <f t="shared" si="2"/>
        <v>201806.61200000002</v>
      </c>
      <c r="AA7" s="693">
        <f t="shared" si="2"/>
        <v>201806.61200000002</v>
      </c>
      <c r="AB7" s="693">
        <f t="shared" si="2"/>
        <v>201806.61200000002</v>
      </c>
    </row>
    <row r="8" spans="2:28" ht="15" thickBot="1" x14ac:dyDescent="0.35">
      <c r="B8" s="487"/>
      <c r="C8" s="487"/>
      <c r="D8" s="728">
        <f>SUM(D3:D7)</f>
        <v>1</v>
      </c>
      <c r="E8" s="487"/>
      <c r="F8" s="729">
        <f>SUM(F3:F7)</f>
        <v>85362055.940624461</v>
      </c>
      <c r="G8" s="487"/>
      <c r="H8" s="487"/>
      <c r="I8" s="487"/>
      <c r="J8" s="487"/>
      <c r="P8" s="694" t="s">
        <v>846</v>
      </c>
      <c r="Q8" s="695">
        <f>Inversiones!E34+SUM(Inversiones!E38:E48)</f>
        <v>238741.95</v>
      </c>
      <c r="R8" s="694">
        <v>3</v>
      </c>
      <c r="S8" s="696">
        <f>$Q$8/$R$8</f>
        <v>79580.650000000009</v>
      </c>
      <c r="T8" s="696">
        <f>$Q$8/$R$8</f>
        <v>79580.650000000009</v>
      </c>
      <c r="U8" s="696">
        <f>$Q$8/$R$8</f>
        <v>79580.650000000009</v>
      </c>
      <c r="V8" s="697"/>
      <c r="W8" s="697"/>
      <c r="X8" s="697"/>
      <c r="Y8" s="697"/>
      <c r="Z8" s="697"/>
      <c r="AA8" s="697"/>
      <c r="AB8" s="697"/>
    </row>
    <row r="9" spans="2:28" ht="14.4" x14ac:dyDescent="0.3">
      <c r="B9" s="487"/>
      <c r="C9" s="487"/>
      <c r="D9" s="487"/>
      <c r="E9" s="487"/>
      <c r="F9" s="487"/>
      <c r="G9" s="487"/>
      <c r="H9" s="487"/>
      <c r="I9" s="487"/>
      <c r="J9" s="487"/>
      <c r="P9" s="694" t="s">
        <v>847</v>
      </c>
      <c r="Q9" s="695">
        <f>SUM(Inversiones!E50:E55)+SUM(Inversiones!E70:E73)+Inversiones!E75+Inversiones!E76</f>
        <v>492745.42000000004</v>
      </c>
      <c r="R9" s="694">
        <v>3</v>
      </c>
      <c r="S9" s="696">
        <f>$Q$9/$R$9</f>
        <v>164248.47333333336</v>
      </c>
      <c r="T9" s="696">
        <f>$Q$9/$R$9</f>
        <v>164248.47333333336</v>
      </c>
      <c r="U9" s="696">
        <f>$Q$9/$R$9</f>
        <v>164248.47333333336</v>
      </c>
      <c r="V9" s="697"/>
      <c r="W9" s="697"/>
      <c r="X9" s="697"/>
      <c r="Y9" s="697"/>
      <c r="Z9" s="697"/>
      <c r="AA9" s="697"/>
      <c r="AB9" s="697"/>
    </row>
    <row r="10" spans="2:28" ht="14.4" x14ac:dyDescent="0.3">
      <c r="D10" s="389"/>
      <c r="E10" s="442"/>
      <c r="F10" s="431"/>
      <c r="G10" s="431"/>
      <c r="H10" s="431"/>
      <c r="I10" s="431"/>
      <c r="J10" s="431"/>
      <c r="P10" s="694" t="s">
        <v>848</v>
      </c>
      <c r="Q10" s="695">
        <f>Inversiones!E12+Inversiones!E37</f>
        <v>955900</v>
      </c>
      <c r="R10" s="694">
        <v>5</v>
      </c>
      <c r="S10" s="696">
        <f>$Q$10/$R$10</f>
        <v>191180</v>
      </c>
      <c r="T10" s="696">
        <f>$Q$10/$R$10</f>
        <v>191180</v>
      </c>
      <c r="U10" s="696">
        <f>$Q$10/$R$10</f>
        <v>191180</v>
      </c>
      <c r="V10" s="696">
        <f>$Q$10/$R$10</f>
        <v>191180</v>
      </c>
      <c r="W10" s="696">
        <f>$Q$10/$R$10</f>
        <v>191180</v>
      </c>
      <c r="X10" s="697"/>
      <c r="Y10" s="697"/>
      <c r="Z10" s="697"/>
      <c r="AA10" s="697"/>
      <c r="AB10" s="697"/>
    </row>
    <row r="11" spans="2:28" ht="14.4" x14ac:dyDescent="0.3">
      <c r="B11" s="1060" t="s">
        <v>814</v>
      </c>
      <c r="C11" s="1061"/>
      <c r="D11" s="389"/>
      <c r="E11" s="442"/>
      <c r="F11" s="431"/>
      <c r="G11" s="431"/>
      <c r="H11" s="431"/>
      <c r="I11" s="431"/>
      <c r="J11" s="431"/>
      <c r="P11" s="694" t="s">
        <v>849</v>
      </c>
      <c r="Q11" s="695">
        <f>SUM(Inversiones!E5:'Inversiones'!E11)+Inversiones!E13+Inversiones!E49+Inversiones!E56+SUM(Inversiones!E58:E62)</f>
        <v>986468.70950413216</v>
      </c>
      <c r="R11" s="694">
        <v>10</v>
      </c>
      <c r="S11" s="696">
        <f t="shared" ref="S11:AB11" si="3">$Q$11/$R$11</f>
        <v>98646.870950413213</v>
      </c>
      <c r="T11" s="696">
        <f t="shared" si="3"/>
        <v>98646.870950413213</v>
      </c>
      <c r="U11" s="696">
        <f t="shared" si="3"/>
        <v>98646.870950413213</v>
      </c>
      <c r="V11" s="696">
        <f t="shared" si="3"/>
        <v>98646.870950413213</v>
      </c>
      <c r="W11" s="696">
        <f t="shared" si="3"/>
        <v>98646.870950413213</v>
      </c>
      <c r="X11" s="696">
        <f t="shared" si="3"/>
        <v>98646.870950413213</v>
      </c>
      <c r="Y11" s="696">
        <f t="shared" si="3"/>
        <v>98646.870950413213</v>
      </c>
      <c r="Z11" s="696">
        <f t="shared" si="3"/>
        <v>98646.870950413213</v>
      </c>
      <c r="AA11" s="696">
        <f t="shared" si="3"/>
        <v>98646.870950413213</v>
      </c>
      <c r="AB11" s="696">
        <f t="shared" si="3"/>
        <v>98646.870950413213</v>
      </c>
    </row>
    <row r="12" spans="2:28" ht="14.4" x14ac:dyDescent="0.3">
      <c r="B12" s="1064"/>
      <c r="C12" s="1065"/>
      <c r="P12" s="694" t="s">
        <v>850</v>
      </c>
      <c r="Q12" s="695">
        <f>Inversiones!E57+SUM(Inversiones!E63:E69)</f>
        <v>82283.240000000005</v>
      </c>
      <c r="R12" s="694">
        <v>3</v>
      </c>
      <c r="S12" s="696">
        <f>$Q$12/$R$12</f>
        <v>27427.74666666667</v>
      </c>
      <c r="T12" s="696">
        <f>$Q$12/$R$12</f>
        <v>27427.74666666667</v>
      </c>
      <c r="U12" s="696">
        <f>$Q$12/$R$12</f>
        <v>27427.74666666667</v>
      </c>
      <c r="V12" s="697"/>
      <c r="W12" s="697"/>
      <c r="X12" s="697"/>
      <c r="Y12" s="697"/>
      <c r="Z12" s="697"/>
      <c r="AA12" s="697"/>
      <c r="AB12" s="697"/>
    </row>
    <row r="13" spans="2:28" ht="14.4" x14ac:dyDescent="0.3">
      <c r="B13" s="426" t="s">
        <v>815</v>
      </c>
      <c r="C13" s="426">
        <v>1</v>
      </c>
      <c r="D13" s="426">
        <v>2</v>
      </c>
      <c r="E13" s="426">
        <v>3</v>
      </c>
      <c r="F13" s="426">
        <v>4</v>
      </c>
      <c r="G13" s="426">
        <v>5</v>
      </c>
      <c r="H13" s="426">
        <v>6</v>
      </c>
      <c r="I13" s="426">
        <v>7</v>
      </c>
      <c r="J13" s="426">
        <v>8</v>
      </c>
      <c r="K13" s="426">
        <v>9</v>
      </c>
      <c r="L13" s="426">
        <v>10</v>
      </c>
      <c r="M13" s="426">
        <v>11</v>
      </c>
      <c r="N13" s="426">
        <v>12</v>
      </c>
      <c r="P13" s="698" t="s">
        <v>67</v>
      </c>
      <c r="Q13" s="698"/>
      <c r="R13" s="698"/>
      <c r="S13" s="699">
        <f t="shared" ref="S13:AB13" si="4">SUM(S5:S12)</f>
        <v>1366815.2539504131</v>
      </c>
      <c r="T13" s="699">
        <f t="shared" si="4"/>
        <v>1366815.2539504131</v>
      </c>
      <c r="U13" s="699">
        <f t="shared" si="4"/>
        <v>1366815.2539504131</v>
      </c>
      <c r="V13" s="699">
        <f t="shared" si="4"/>
        <v>1095558.3839504132</v>
      </c>
      <c r="W13" s="699">
        <f t="shared" si="4"/>
        <v>1095558.3839504132</v>
      </c>
      <c r="X13" s="699">
        <f t="shared" si="4"/>
        <v>904378.3839504132</v>
      </c>
      <c r="Y13" s="699">
        <f t="shared" si="4"/>
        <v>904378.3839504132</v>
      </c>
      <c r="Z13" s="699">
        <f t="shared" si="4"/>
        <v>904378.3839504132</v>
      </c>
      <c r="AA13" s="699">
        <f t="shared" si="4"/>
        <v>904378.3839504132</v>
      </c>
      <c r="AB13" s="699">
        <f t="shared" si="4"/>
        <v>904378.3839504132</v>
      </c>
    </row>
    <row r="14" spans="2:28" ht="14.4" x14ac:dyDescent="0.3">
      <c r="B14" s="662" t="s">
        <v>822</v>
      </c>
      <c r="C14" s="664">
        <f t="shared" ref="C14:N14" si="5">$J$3*50%</f>
        <v>3556752.3308593524</v>
      </c>
      <c r="D14" s="664">
        <f t="shared" si="5"/>
        <v>3556752.3308593524</v>
      </c>
      <c r="E14" s="664">
        <f t="shared" si="5"/>
        <v>3556752.3308593524</v>
      </c>
      <c r="F14" s="664">
        <f t="shared" si="5"/>
        <v>3556752.3308593524</v>
      </c>
      <c r="G14" s="664">
        <f t="shared" si="5"/>
        <v>3556752.3308593524</v>
      </c>
      <c r="H14" s="664">
        <f t="shared" si="5"/>
        <v>3556752.3308593524</v>
      </c>
      <c r="I14" s="664">
        <f t="shared" si="5"/>
        <v>3556752.3308593524</v>
      </c>
      <c r="J14" s="664">
        <f t="shared" si="5"/>
        <v>3556752.3308593524</v>
      </c>
      <c r="K14" s="664">
        <f t="shared" si="5"/>
        <v>3556752.3308593524</v>
      </c>
      <c r="L14" s="664">
        <f t="shared" si="5"/>
        <v>3556752.3308593524</v>
      </c>
      <c r="M14" s="664">
        <f t="shared" si="5"/>
        <v>3556752.3308593524</v>
      </c>
      <c r="N14" s="664">
        <f t="shared" si="5"/>
        <v>3556752.3308593524</v>
      </c>
    </row>
    <row r="15" spans="2:28" ht="14.4" x14ac:dyDescent="0.3">
      <c r="B15" s="662" t="s">
        <v>823</v>
      </c>
      <c r="C15" s="665"/>
      <c r="D15" s="664">
        <f t="shared" ref="D15:N15" si="6">$J$3*25%</f>
        <v>1778376.1654296762</v>
      </c>
      <c r="E15" s="664">
        <f t="shared" si="6"/>
        <v>1778376.1654296762</v>
      </c>
      <c r="F15" s="664">
        <f t="shared" si="6"/>
        <v>1778376.1654296762</v>
      </c>
      <c r="G15" s="664">
        <f t="shared" si="6"/>
        <v>1778376.1654296762</v>
      </c>
      <c r="H15" s="664">
        <f t="shared" si="6"/>
        <v>1778376.1654296762</v>
      </c>
      <c r="I15" s="664">
        <f t="shared" si="6"/>
        <v>1778376.1654296762</v>
      </c>
      <c r="J15" s="664">
        <f t="shared" si="6"/>
        <v>1778376.1654296762</v>
      </c>
      <c r="K15" s="664">
        <f t="shared" si="6"/>
        <v>1778376.1654296762</v>
      </c>
      <c r="L15" s="664">
        <f t="shared" si="6"/>
        <v>1778376.1654296762</v>
      </c>
      <c r="M15" s="664">
        <f t="shared" si="6"/>
        <v>1778376.1654296762</v>
      </c>
      <c r="N15" s="664">
        <f t="shared" si="6"/>
        <v>1778376.1654296762</v>
      </c>
    </row>
    <row r="16" spans="2:28" ht="15" thickBot="1" x14ac:dyDescent="0.35">
      <c r="B16" s="662" t="s">
        <v>823</v>
      </c>
      <c r="C16" s="665"/>
      <c r="D16" s="664"/>
      <c r="E16" s="664">
        <f t="shared" ref="E16:N16" si="7">$J$3*25%</f>
        <v>1778376.1654296762</v>
      </c>
      <c r="F16" s="664">
        <f t="shared" si="7"/>
        <v>1778376.1654296762</v>
      </c>
      <c r="G16" s="664">
        <f t="shared" si="7"/>
        <v>1778376.1654296762</v>
      </c>
      <c r="H16" s="664">
        <f t="shared" si="7"/>
        <v>1778376.1654296762</v>
      </c>
      <c r="I16" s="664">
        <f t="shared" si="7"/>
        <v>1778376.1654296762</v>
      </c>
      <c r="J16" s="664">
        <f t="shared" si="7"/>
        <v>1778376.1654296762</v>
      </c>
      <c r="K16" s="664">
        <f t="shared" si="7"/>
        <v>1778376.1654296762</v>
      </c>
      <c r="L16" s="664">
        <f t="shared" si="7"/>
        <v>1778376.1654296762</v>
      </c>
      <c r="M16" s="664">
        <f t="shared" si="7"/>
        <v>1778376.1654296762</v>
      </c>
      <c r="N16" s="664">
        <f t="shared" si="7"/>
        <v>1778376.1654296762</v>
      </c>
    </row>
    <row r="17" spans="2:29" ht="14.4" x14ac:dyDescent="0.3">
      <c r="B17" s="662" t="s">
        <v>657</v>
      </c>
      <c r="C17" s="427">
        <f>-'Costos Totales'!$F$36</f>
        <v>-2964998.3126337007</v>
      </c>
      <c r="D17" s="427">
        <f>-'Costos Totales'!$F$36</f>
        <v>-2964998.3126337007</v>
      </c>
      <c r="E17" s="427">
        <f>-'Costos Totales'!$F$36</f>
        <v>-2964998.3126337007</v>
      </c>
      <c r="F17" s="427">
        <f>-'Costos Totales'!$F$36</f>
        <v>-2964998.3126337007</v>
      </c>
      <c r="G17" s="427">
        <f>-'Costos Totales'!$F$36</f>
        <v>-2964998.3126337007</v>
      </c>
      <c r="H17" s="427">
        <f>-'Costos Totales'!$F$36</f>
        <v>-2964998.3126337007</v>
      </c>
      <c r="I17" s="427">
        <f>-'Costos Totales'!$F$36</f>
        <v>-2964998.3126337007</v>
      </c>
      <c r="J17" s="427">
        <f>-'Costos Totales'!$F$36</f>
        <v>-2964998.3126337007</v>
      </c>
      <c r="K17" s="427">
        <f>-'Costos Totales'!$F$36</f>
        <v>-2964998.3126337007</v>
      </c>
      <c r="L17" s="427">
        <f>-'Costos Totales'!$F$36</f>
        <v>-2964998.3126337007</v>
      </c>
      <c r="M17" s="427">
        <f>-'Costos Totales'!$F$36</f>
        <v>-2964998.3126337007</v>
      </c>
      <c r="N17" s="427">
        <f>-'Costos Totales'!$F$36</f>
        <v>-2964998.3126337007</v>
      </c>
      <c r="P17" s="1081" t="s">
        <v>851</v>
      </c>
      <c r="Q17" s="1082"/>
      <c r="R17" s="1082"/>
      <c r="S17" s="1082"/>
      <c r="T17" s="1083"/>
      <c r="U17" s="448"/>
      <c r="V17" s="707" t="s">
        <v>852</v>
      </c>
      <c r="W17" s="708">
        <v>0.31990000000000002</v>
      </c>
      <c r="Y17" s="1084"/>
      <c r="Z17" s="1084"/>
      <c r="AA17" s="1084"/>
      <c r="AB17" s="1084"/>
      <c r="AC17" s="1084"/>
    </row>
    <row r="18" spans="2:29" ht="14.4" x14ac:dyDescent="0.3">
      <c r="B18" s="662" t="s">
        <v>816</v>
      </c>
      <c r="C18" s="427">
        <f>-('Costos Totales'!$E$36-'Costos Totales'!$E$6-'Costos Totales'!$E$17-'Costos Totales'!$E$34)</f>
        <v>-1398743.2490706067</v>
      </c>
      <c r="D18" s="427">
        <f>-('Costos Totales'!$E$36-'Costos Totales'!$E$6-'Costos Totales'!$E$17-'Costos Totales'!$E$34)</f>
        <v>-1398743.2490706067</v>
      </c>
      <c r="E18" s="427">
        <f>-('Costos Totales'!$E$36-'Costos Totales'!$E$6-'Costos Totales'!$E$17-'Costos Totales'!$E$34)</f>
        <v>-1398743.2490706067</v>
      </c>
      <c r="F18" s="427">
        <f>-('Costos Totales'!$E$36-'Costos Totales'!$E$6-'Costos Totales'!$E$17-'Costos Totales'!$E$34)</f>
        <v>-1398743.2490706067</v>
      </c>
      <c r="G18" s="427">
        <f>-('Costos Totales'!$E$36-'Costos Totales'!$E$6-'Costos Totales'!$E$17-'Costos Totales'!$E$34)</f>
        <v>-1398743.2490706067</v>
      </c>
      <c r="H18" s="427">
        <f>-('Costos Totales'!$E$36-'Costos Totales'!$E$6-'Costos Totales'!$E$17-'Costos Totales'!$E$34)</f>
        <v>-1398743.2490706067</v>
      </c>
      <c r="I18" s="427">
        <f>-('Costos Totales'!$E$36-'Costos Totales'!$E$6-'Costos Totales'!$E$17-'Costos Totales'!$E$34)</f>
        <v>-1398743.2490706067</v>
      </c>
      <c r="J18" s="427">
        <f>-('Costos Totales'!$E$36-'Costos Totales'!$E$6-'Costos Totales'!$E$17-'Costos Totales'!$E$34)</f>
        <v>-1398743.2490706067</v>
      </c>
      <c r="K18" s="427">
        <f>-('Costos Totales'!$E$36-'Costos Totales'!$E$6-'Costos Totales'!$E$17-'Costos Totales'!$E$34)</f>
        <v>-1398743.2490706067</v>
      </c>
      <c r="L18" s="427">
        <f>-('Costos Totales'!$E$36-'Costos Totales'!$E$6-'Costos Totales'!$E$17-'Costos Totales'!$E$34)</f>
        <v>-1398743.2490706067</v>
      </c>
      <c r="M18" s="427">
        <f>-('Costos Totales'!$E$36-'Costos Totales'!$E$6-'Costos Totales'!$E$17-'Costos Totales'!$E$34)</f>
        <v>-1398743.2490706067</v>
      </c>
      <c r="N18" s="427">
        <f>-('Costos Totales'!$E$36-'Costos Totales'!$E$6-'Costos Totales'!$E$17-'Costos Totales'!$E$34)</f>
        <v>-1398743.2490706067</v>
      </c>
      <c r="P18" s="703" t="s">
        <v>853</v>
      </c>
      <c r="Q18" s="704" t="s">
        <v>854</v>
      </c>
      <c r="R18" s="704" t="s">
        <v>855</v>
      </c>
      <c r="S18" s="704" t="s">
        <v>856</v>
      </c>
      <c r="T18" s="705" t="s">
        <v>857</v>
      </c>
      <c r="U18" s="448"/>
      <c r="V18" s="709" t="s">
        <v>858</v>
      </c>
      <c r="W18" s="663">
        <v>38311552.200000003</v>
      </c>
      <c r="Y18" s="449"/>
      <c r="Z18" s="449"/>
      <c r="AA18" s="449"/>
      <c r="AB18" s="449"/>
      <c r="AC18" s="449"/>
    </row>
    <row r="19" spans="2:29" ht="14.4" x14ac:dyDescent="0.3">
      <c r="B19" s="662" t="s">
        <v>817</v>
      </c>
      <c r="C19" s="427">
        <f>-'Plan de Producción'!D87</f>
        <v>-1457426.5063388997</v>
      </c>
      <c r="D19" s="427"/>
      <c r="E19" s="427"/>
      <c r="F19" s="427"/>
      <c r="G19" s="427"/>
      <c r="H19" s="427"/>
      <c r="I19" s="427"/>
      <c r="J19" s="427"/>
      <c r="K19" s="427"/>
      <c r="L19" s="427"/>
      <c r="M19" s="427"/>
      <c r="N19" s="427"/>
      <c r="P19" s="700">
        <v>1</v>
      </c>
      <c r="Q19" s="665">
        <f t="shared" ref="Q19:Q54" si="8">PMT($W$20,$W$19,-$W$18)</f>
        <v>1194869.2777200497</v>
      </c>
      <c r="R19" s="701">
        <f t="shared" ref="R19:R54" si="9">PPMT($W$20,P19,$W$19,-$W$18)</f>
        <v>298160.93300084653</v>
      </c>
      <c r="S19" s="664">
        <f t="shared" ref="S19:S54" si="10">IPMT($W$20,P19,$W$19,-$W$18)</f>
        <v>896708.34471920319</v>
      </c>
      <c r="T19" s="702">
        <f>W18-R19</f>
        <v>38013391.266999155</v>
      </c>
      <c r="U19" s="448"/>
      <c r="V19" s="707" t="s">
        <v>859</v>
      </c>
      <c r="W19" s="662">
        <v>60</v>
      </c>
      <c r="Y19" s="449"/>
      <c r="Z19" s="450"/>
      <c r="AA19" s="451"/>
      <c r="AB19" s="439"/>
      <c r="AC19" s="451"/>
    </row>
    <row r="20" spans="2:29" ht="14.4" x14ac:dyDescent="0.3">
      <c r="B20" s="428" t="s">
        <v>67</v>
      </c>
      <c r="C20" s="429">
        <f t="shared" ref="C20:N20" si="11">SUM(C14:C19)</f>
        <v>-2264415.7371838549</v>
      </c>
      <c r="D20" s="430">
        <f t="shared" si="11"/>
        <v>971386.93458472146</v>
      </c>
      <c r="E20" s="430">
        <f t="shared" si="11"/>
        <v>2749763.1000143974</v>
      </c>
      <c r="F20" s="430">
        <f t="shared" si="11"/>
        <v>2749763.1000143974</v>
      </c>
      <c r="G20" s="430">
        <f t="shared" si="11"/>
        <v>2749763.1000143974</v>
      </c>
      <c r="H20" s="430">
        <f t="shared" si="11"/>
        <v>2749763.1000143974</v>
      </c>
      <c r="I20" s="430">
        <f t="shared" si="11"/>
        <v>2749763.1000143974</v>
      </c>
      <c r="J20" s="430">
        <f t="shared" si="11"/>
        <v>2749763.1000143974</v>
      </c>
      <c r="K20" s="430">
        <f t="shared" si="11"/>
        <v>2749763.1000143974</v>
      </c>
      <c r="L20" s="430">
        <f t="shared" si="11"/>
        <v>2749763.1000143974</v>
      </c>
      <c r="M20" s="430">
        <f t="shared" si="11"/>
        <v>2749763.1000143974</v>
      </c>
      <c r="N20" s="430">
        <f t="shared" si="11"/>
        <v>2749763.1000143974</v>
      </c>
      <c r="P20" s="700">
        <v>2</v>
      </c>
      <c r="Q20" s="665">
        <f t="shared" si="8"/>
        <v>1194869.2777200497</v>
      </c>
      <c r="R20" s="701">
        <f t="shared" si="9"/>
        <v>305139.5956061983</v>
      </c>
      <c r="S20" s="664">
        <f t="shared" si="10"/>
        <v>889729.6821138513</v>
      </c>
      <c r="T20" s="702">
        <f>T19-R20</f>
        <v>37708251.671392955</v>
      </c>
      <c r="U20" s="448"/>
      <c r="V20" s="707" t="s">
        <v>860</v>
      </c>
      <c r="W20" s="710">
        <f>((1+0.32)^(1/12))-1</f>
        <v>2.3405690796292067E-2</v>
      </c>
      <c r="Y20" s="449"/>
      <c r="Z20" s="450"/>
      <c r="AA20" s="451"/>
      <c r="AB20" s="439"/>
      <c r="AC20" s="451"/>
    </row>
    <row r="21" spans="2:29" ht="14.4" x14ac:dyDescent="0.3">
      <c r="P21" s="700">
        <v>3</v>
      </c>
      <c r="Q21" s="665">
        <f t="shared" si="8"/>
        <v>1194869.2777200497</v>
      </c>
      <c r="R21" s="701">
        <f t="shared" si="9"/>
        <v>312281.59863066248</v>
      </c>
      <c r="S21" s="664">
        <f t="shared" si="10"/>
        <v>882587.67908938706</v>
      </c>
      <c r="T21" s="702">
        <f>T20-R21</f>
        <v>37395970.072762296</v>
      </c>
      <c r="U21" s="448"/>
      <c r="W21" s="448"/>
      <c r="Y21" s="449"/>
      <c r="Z21" s="450"/>
      <c r="AA21" s="451"/>
      <c r="AB21" s="439"/>
      <c r="AC21" s="451"/>
    </row>
    <row r="22" spans="2:29" ht="14.4" x14ac:dyDescent="0.3">
      <c r="B22" s="1060" t="s">
        <v>839</v>
      </c>
      <c r="C22" s="1061"/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P22" s="700">
        <v>4</v>
      </c>
      <c r="Q22" s="665">
        <f t="shared" si="8"/>
        <v>1194869.2777200497</v>
      </c>
      <c r="R22" s="701">
        <f t="shared" si="9"/>
        <v>319590.76516958361</v>
      </c>
      <c r="S22" s="664">
        <f t="shared" si="10"/>
        <v>875278.512550466</v>
      </c>
      <c r="T22" s="702">
        <f t="shared" ref="T22:T78" si="12">T21-R22</f>
        <v>37076379.307592712</v>
      </c>
      <c r="U22" s="448"/>
      <c r="V22" s="448"/>
      <c r="W22" s="448"/>
      <c r="Y22" s="449"/>
      <c r="Z22" s="450"/>
      <c r="AA22" s="451"/>
      <c r="AB22" s="439"/>
      <c r="AC22" s="451"/>
    </row>
    <row r="23" spans="2:29" ht="14.4" x14ac:dyDescent="0.3">
      <c r="B23" s="1064"/>
      <c r="C23" s="1065"/>
      <c r="D23" s="439"/>
      <c r="E23" s="439"/>
      <c r="F23" s="439"/>
      <c r="G23" s="439"/>
      <c r="H23" s="439"/>
      <c r="I23" s="439"/>
      <c r="J23" s="439"/>
      <c r="K23" s="439"/>
      <c r="L23" s="439"/>
      <c r="M23" s="439"/>
      <c r="N23" s="439"/>
      <c r="P23" s="700">
        <v>5</v>
      </c>
      <c r="Q23" s="665">
        <f t="shared" si="8"/>
        <v>1194869.2777200497</v>
      </c>
      <c r="R23" s="701">
        <f t="shared" si="9"/>
        <v>327071.00780049321</v>
      </c>
      <c r="S23" s="664">
        <f t="shared" si="10"/>
        <v>867798.26991955633</v>
      </c>
      <c r="T23" s="702">
        <f t="shared" si="12"/>
        <v>36749308.299792223</v>
      </c>
      <c r="U23" s="448"/>
      <c r="V23" s="448"/>
      <c r="W23" s="448"/>
      <c r="Y23" s="449"/>
      <c r="Z23" s="450"/>
      <c r="AA23" s="451"/>
      <c r="AB23" s="439"/>
      <c r="AC23" s="451"/>
    </row>
    <row r="24" spans="2:29" ht="14.4" x14ac:dyDescent="0.3">
      <c r="B24" s="443" t="s">
        <v>824</v>
      </c>
      <c r="C24" s="443">
        <v>0</v>
      </c>
      <c r="D24" s="443">
        <v>1</v>
      </c>
      <c r="E24" s="443">
        <v>2</v>
      </c>
      <c r="F24" s="443">
        <v>3</v>
      </c>
      <c r="G24" s="443">
        <v>4</v>
      </c>
      <c r="H24" s="443">
        <v>5</v>
      </c>
      <c r="I24" s="443">
        <v>6</v>
      </c>
      <c r="J24" s="443">
        <v>7</v>
      </c>
      <c r="K24" s="443">
        <v>8</v>
      </c>
      <c r="L24" s="443">
        <v>9</v>
      </c>
      <c r="M24" s="443">
        <v>10</v>
      </c>
      <c r="N24" s="439"/>
      <c r="P24" s="700">
        <v>6</v>
      </c>
      <c r="Q24" s="665">
        <f t="shared" si="8"/>
        <v>1194869.2777200497</v>
      </c>
      <c r="R24" s="701">
        <f t="shared" si="9"/>
        <v>334726.3306775032</v>
      </c>
      <c r="S24" s="664">
        <f t="shared" si="10"/>
        <v>860142.94704254647</v>
      </c>
      <c r="T24" s="702">
        <f t="shared" si="12"/>
        <v>36414581.969114721</v>
      </c>
      <c r="U24" s="448"/>
      <c r="V24" s="448"/>
      <c r="W24" s="448"/>
      <c r="Y24" s="449"/>
      <c r="Z24" s="450"/>
      <c r="AA24" s="451"/>
      <c r="AB24" s="439"/>
      <c r="AC24" s="451"/>
    </row>
    <row r="25" spans="2:29" ht="14.4" x14ac:dyDescent="0.3">
      <c r="B25" s="662" t="s">
        <v>825</v>
      </c>
      <c r="C25" s="444">
        <f>-Inversiones!E77</f>
        <v>-74066147.449504033</v>
      </c>
      <c r="D25" s="663"/>
      <c r="E25" s="663"/>
      <c r="F25" s="663"/>
      <c r="G25" s="663"/>
      <c r="H25" s="663"/>
      <c r="I25" s="663"/>
      <c r="J25" s="663"/>
      <c r="K25" s="663"/>
      <c r="L25" s="663"/>
      <c r="M25" s="663"/>
      <c r="N25" s="439"/>
      <c r="P25" s="700">
        <v>7</v>
      </c>
      <c r="Q25" s="665">
        <f t="shared" si="8"/>
        <v>1194869.2777200497</v>
      </c>
      <c r="R25" s="701">
        <f t="shared" si="9"/>
        <v>342560.83167471836</v>
      </c>
      <c r="S25" s="664">
        <f t="shared" si="10"/>
        <v>852308.44604533131</v>
      </c>
      <c r="T25" s="702">
        <f t="shared" si="12"/>
        <v>36072021.137440003</v>
      </c>
      <c r="Y25" s="449"/>
      <c r="Z25" s="450"/>
      <c r="AA25" s="451"/>
      <c r="AB25" s="439"/>
      <c r="AC25" s="451"/>
    </row>
    <row r="26" spans="2:29" ht="14.4" x14ac:dyDescent="0.3">
      <c r="B26" s="662" t="s">
        <v>826</v>
      </c>
      <c r="C26" s="427">
        <f>C20</f>
        <v>-2264415.7371838549</v>
      </c>
      <c r="D26" s="663"/>
      <c r="E26" s="663"/>
      <c r="F26" s="663"/>
      <c r="G26" s="663"/>
      <c r="H26" s="663"/>
      <c r="I26" s="663"/>
      <c r="J26" s="663"/>
      <c r="K26" s="663"/>
      <c r="L26" s="663"/>
      <c r="M26" s="663">
        <f>-C26</f>
        <v>2264415.7371838549</v>
      </c>
      <c r="N26" s="440"/>
      <c r="P26" s="700">
        <v>8</v>
      </c>
      <c r="Q26" s="665">
        <f t="shared" si="8"/>
        <v>1194869.2777200497</v>
      </c>
      <c r="R26" s="701">
        <f t="shared" si="9"/>
        <v>350578.70457981736</v>
      </c>
      <c r="S26" s="664">
        <f t="shared" si="10"/>
        <v>844290.57314023224</v>
      </c>
      <c r="T26" s="702">
        <f t="shared" si="12"/>
        <v>35721442.432860188</v>
      </c>
      <c r="Y26" s="449"/>
      <c r="Z26" s="450"/>
      <c r="AA26" s="451"/>
      <c r="AB26" s="439"/>
      <c r="AC26" s="451"/>
    </row>
    <row r="27" spans="2:29" ht="14.4" x14ac:dyDescent="0.3">
      <c r="B27" s="662" t="s">
        <v>827</v>
      </c>
      <c r="C27" s="663"/>
      <c r="D27" s="663"/>
      <c r="E27" s="663"/>
      <c r="F27" s="663"/>
      <c r="G27" s="663"/>
      <c r="H27" s="663"/>
      <c r="I27" s="663"/>
      <c r="J27" s="663"/>
      <c r="K27" s="663"/>
      <c r="L27" s="663"/>
      <c r="M27" s="663">
        <f>$Q$5-SUM($S$5:$AB$5)</f>
        <v>22301068</v>
      </c>
      <c r="N27" s="440"/>
      <c r="P27" s="700">
        <v>9</v>
      </c>
      <c r="Q27" s="665">
        <f t="shared" si="8"/>
        <v>1194869.2777200497</v>
      </c>
      <c r="R27" s="701">
        <f t="shared" si="9"/>
        <v>358784.24133897724</v>
      </c>
      <c r="S27" s="664">
        <f t="shared" si="10"/>
        <v>836085.03638107248</v>
      </c>
      <c r="T27" s="702">
        <f t="shared" si="12"/>
        <v>35362658.191521212</v>
      </c>
      <c r="Y27" s="449"/>
      <c r="Z27" s="450"/>
      <c r="AA27" s="451"/>
      <c r="AB27" s="439"/>
      <c r="AC27" s="451"/>
    </row>
    <row r="28" spans="2:29" ht="14.4" x14ac:dyDescent="0.3">
      <c r="B28" s="662" t="s">
        <v>828</v>
      </c>
      <c r="C28" s="663"/>
      <c r="D28" s="663">
        <f>F8</f>
        <v>85362055.940624461</v>
      </c>
      <c r="E28" s="663">
        <f>D28+D28*10%</f>
        <v>93898261.534686908</v>
      </c>
      <c r="F28" s="663">
        <f t="shared" ref="F28:M28" si="13">E28+E28*10%</f>
        <v>103288087.68815559</v>
      </c>
      <c r="G28" s="663">
        <f t="shared" si="13"/>
        <v>113616896.45697115</v>
      </c>
      <c r="H28" s="663">
        <f t="shared" si="13"/>
        <v>124978586.10266827</v>
      </c>
      <c r="I28" s="663">
        <f t="shared" si="13"/>
        <v>137476444.71293509</v>
      </c>
      <c r="J28" s="663">
        <f t="shared" si="13"/>
        <v>151224089.1842286</v>
      </c>
      <c r="K28" s="663">
        <f t="shared" si="13"/>
        <v>166346498.10265145</v>
      </c>
      <c r="L28" s="663">
        <f t="shared" si="13"/>
        <v>182981147.9129166</v>
      </c>
      <c r="M28" s="663">
        <f t="shared" si="13"/>
        <v>201279262.70420825</v>
      </c>
      <c r="N28" s="441"/>
      <c r="P28" s="700">
        <v>10</v>
      </c>
      <c r="Q28" s="665">
        <f t="shared" si="8"/>
        <v>1194869.2777200497</v>
      </c>
      <c r="R28" s="701">
        <f t="shared" si="9"/>
        <v>367181.83435433957</v>
      </c>
      <c r="S28" s="664">
        <f t="shared" si="10"/>
        <v>827687.44336570997</v>
      </c>
      <c r="T28" s="702">
        <f t="shared" si="12"/>
        <v>34995476.357166871</v>
      </c>
      <c r="Y28" s="449"/>
      <c r="Z28" s="450"/>
      <c r="AA28" s="451"/>
      <c r="AB28" s="439"/>
      <c r="AC28" s="451"/>
    </row>
    <row r="29" spans="2:29" ht="14.4" x14ac:dyDescent="0.3">
      <c r="B29" s="662" t="s">
        <v>829</v>
      </c>
      <c r="C29" s="663"/>
      <c r="D29" s="663">
        <f>'Unidades de Negocio'!$D$9</f>
        <v>671333.6</v>
      </c>
      <c r="E29" s="663">
        <f>D29+D29*2%</f>
        <v>684760.272</v>
      </c>
      <c r="F29" s="663">
        <f t="shared" ref="F29:M29" si="14">E29+E29*2%</f>
        <v>698455.47744000005</v>
      </c>
      <c r="G29" s="663">
        <f t="shared" si="14"/>
        <v>712424.58698880009</v>
      </c>
      <c r="H29" s="663">
        <f t="shared" si="14"/>
        <v>726673.07872857607</v>
      </c>
      <c r="I29" s="663">
        <f t="shared" si="14"/>
        <v>741206.54030314763</v>
      </c>
      <c r="J29" s="663">
        <f t="shared" si="14"/>
        <v>756030.67110921058</v>
      </c>
      <c r="K29" s="663">
        <f t="shared" si="14"/>
        <v>771151.28453139483</v>
      </c>
      <c r="L29" s="663">
        <f t="shared" si="14"/>
        <v>786574.3102220227</v>
      </c>
      <c r="M29" s="663">
        <f t="shared" si="14"/>
        <v>802305.79642646317</v>
      </c>
      <c r="N29" s="350"/>
      <c r="P29" s="700">
        <v>11</v>
      </c>
      <c r="Q29" s="665">
        <f t="shared" si="8"/>
        <v>1194869.2777200497</v>
      </c>
      <c r="R29" s="701">
        <f t="shared" si="9"/>
        <v>375775.97883525252</v>
      </c>
      <c r="S29" s="664">
        <f t="shared" si="10"/>
        <v>819093.29888479714</v>
      </c>
      <c r="T29" s="702">
        <f t="shared" si="12"/>
        <v>34619700.378331617</v>
      </c>
      <c r="Y29" s="449"/>
      <c r="Z29" s="450"/>
      <c r="AA29" s="451"/>
      <c r="AB29" s="439"/>
      <c r="AC29" s="451"/>
    </row>
    <row r="30" spans="2:29" ht="14.4" x14ac:dyDescent="0.3">
      <c r="B30" s="662" t="s">
        <v>830</v>
      </c>
      <c r="C30" s="663"/>
      <c r="D30" s="444">
        <f>-('Costos Totales'!F36)*12</f>
        <v>-35579979.751604408</v>
      </c>
      <c r="E30" s="444">
        <f>D30+D30*10%</f>
        <v>-39137977.72676485</v>
      </c>
      <c r="F30" s="444">
        <f t="shared" ref="F30:M30" si="15">E30+E30*10%</f>
        <v>-43051775.499441333</v>
      </c>
      <c r="G30" s="444">
        <f t="shared" si="15"/>
        <v>-47356953.049385466</v>
      </c>
      <c r="H30" s="444">
        <f t="shared" si="15"/>
        <v>-52092648.354324013</v>
      </c>
      <c r="I30" s="444">
        <f t="shared" si="15"/>
        <v>-57301913.189756416</v>
      </c>
      <c r="J30" s="444">
        <f t="shared" si="15"/>
        <v>-63032104.508732058</v>
      </c>
      <c r="K30" s="444">
        <f t="shared" si="15"/>
        <v>-69335314.959605262</v>
      </c>
      <c r="L30" s="444">
        <f t="shared" si="15"/>
        <v>-76268846.45556578</v>
      </c>
      <c r="M30" s="444">
        <f t="shared" si="15"/>
        <v>-83895731.101122364</v>
      </c>
      <c r="N30" s="350"/>
      <c r="P30" s="700">
        <v>12</v>
      </c>
      <c r="Q30" s="665">
        <f t="shared" si="8"/>
        <v>1194869.2777200497</v>
      </c>
      <c r="R30" s="701">
        <f t="shared" si="9"/>
        <v>384571.27520454448</v>
      </c>
      <c r="S30" s="664">
        <f t="shared" si="10"/>
        <v>810298.0025155053</v>
      </c>
      <c r="T30" s="702">
        <f t="shared" si="12"/>
        <v>34235129.10312707</v>
      </c>
      <c r="Y30" s="449"/>
      <c r="Z30" s="450"/>
      <c r="AA30" s="451"/>
      <c r="AB30" s="439"/>
      <c r="AC30" s="451"/>
    </row>
    <row r="31" spans="2:29" ht="14.4" x14ac:dyDescent="0.3">
      <c r="B31" s="662" t="s">
        <v>837</v>
      </c>
      <c r="C31" s="663"/>
      <c r="D31" s="444"/>
      <c r="E31" s="444"/>
      <c r="F31" s="444"/>
      <c r="G31" s="444"/>
      <c r="H31" s="444"/>
      <c r="I31" s="444"/>
      <c r="J31" s="444"/>
      <c r="K31" s="444"/>
      <c r="L31" s="444"/>
      <c r="M31" s="444"/>
      <c r="N31" s="350"/>
      <c r="P31" s="700">
        <v>13</v>
      </c>
      <c r="Q31" s="665">
        <f t="shared" si="8"/>
        <v>1194869.2777200497</v>
      </c>
      <c r="R31" s="701">
        <f t="shared" si="9"/>
        <v>393572.43156111788</v>
      </c>
      <c r="S31" s="664">
        <f t="shared" si="10"/>
        <v>801296.84615893196</v>
      </c>
      <c r="T31" s="702">
        <f t="shared" si="12"/>
        <v>33841556.67156595</v>
      </c>
      <c r="Y31" s="449"/>
      <c r="Z31" s="450"/>
      <c r="AA31" s="451"/>
      <c r="AB31" s="439"/>
      <c r="AC31" s="451"/>
    </row>
    <row r="32" spans="2:29" ht="14.4" x14ac:dyDescent="0.3">
      <c r="B32" s="657" t="s">
        <v>831</v>
      </c>
      <c r="C32" s="658"/>
      <c r="D32" s="658">
        <f>SUM(D28:D31)</f>
        <v>50453409.789020047</v>
      </c>
      <c r="E32" s="658">
        <f t="shared" ref="E32:L32" si="16">SUM(E28:E31)</f>
        <v>55445044.079922058</v>
      </c>
      <c r="F32" s="658">
        <f t="shared" si="16"/>
        <v>60934767.666154258</v>
      </c>
      <c r="G32" s="658">
        <f t="shared" si="16"/>
        <v>66972367.994574495</v>
      </c>
      <c r="H32" s="658">
        <f t="shared" si="16"/>
        <v>73612610.827072829</v>
      </c>
      <c r="I32" s="658">
        <f t="shared" si="16"/>
        <v>80915738.063481808</v>
      </c>
      <c r="J32" s="658">
        <f t="shared" si="16"/>
        <v>88948015.346605748</v>
      </c>
      <c r="K32" s="658">
        <f t="shared" si="16"/>
        <v>97782334.42757757</v>
      </c>
      <c r="L32" s="658">
        <f t="shared" si="16"/>
        <v>107498875.76757285</v>
      </c>
      <c r="M32" s="658">
        <f>SUM(M26:M31)</f>
        <v>142751321.13669622</v>
      </c>
      <c r="P32" s="700">
        <v>14</v>
      </c>
      <c r="Q32" s="665">
        <f t="shared" si="8"/>
        <v>1194869.2777200497</v>
      </c>
      <c r="R32" s="701">
        <f t="shared" si="9"/>
        <v>402784.26620018209</v>
      </c>
      <c r="S32" s="664">
        <f t="shared" si="10"/>
        <v>792085.01151986758</v>
      </c>
      <c r="T32" s="702">
        <f t="shared" si="12"/>
        <v>33438772.405365769</v>
      </c>
      <c r="Y32" s="449"/>
      <c r="Z32" s="450"/>
      <c r="AA32" s="451"/>
      <c r="AB32" s="439"/>
      <c r="AC32" s="451"/>
    </row>
    <row r="33" spans="2:29" ht="14.4" x14ac:dyDescent="0.3">
      <c r="B33" s="662" t="s">
        <v>841</v>
      </c>
      <c r="C33" s="663"/>
      <c r="D33" s="444">
        <f>-('Punto de Equilibrio'!$L$15+'Estudio Financiero'!S13)</f>
        <v>-18151734.242797691</v>
      </c>
      <c r="E33" s="444">
        <f>-('Punto de Equilibrio'!$L$15+'Estudio Financiero'!T13)</f>
        <v>-18151734.242797691</v>
      </c>
      <c r="F33" s="444">
        <f>-('Punto de Equilibrio'!$L$15+'Estudio Financiero'!U13)</f>
        <v>-18151734.242797691</v>
      </c>
      <c r="G33" s="444">
        <f>-('Punto de Equilibrio'!$L$15+'Estudio Financiero'!V13)</f>
        <v>-17880477.37279769</v>
      </c>
      <c r="H33" s="444">
        <f>-('Punto de Equilibrio'!$L$15+'Estudio Financiero'!W13)</f>
        <v>-17880477.37279769</v>
      </c>
      <c r="I33" s="444">
        <f>-('Punto de Equilibrio'!$L$15+'Estudio Financiero'!X13)</f>
        <v>-17689297.37279769</v>
      </c>
      <c r="J33" s="444">
        <f>-('Punto de Equilibrio'!$L$15+'Estudio Financiero'!Y13)</f>
        <v>-17689297.37279769</v>
      </c>
      <c r="K33" s="444">
        <f>-('Punto de Equilibrio'!$L$15+'Estudio Financiero'!Z13)</f>
        <v>-17689297.37279769</v>
      </c>
      <c r="L33" s="444">
        <f>-('Punto de Equilibrio'!$L$15+'Estudio Financiero'!AA13)</f>
        <v>-17689297.37279769</v>
      </c>
      <c r="M33" s="444">
        <f>-('Punto de Equilibrio'!$L$15+'Estudio Financiero'!AB13)</f>
        <v>-17689297.37279769</v>
      </c>
      <c r="P33" s="700">
        <v>15</v>
      </c>
      <c r="Q33" s="665">
        <f t="shared" si="8"/>
        <v>1194869.2777200497</v>
      </c>
      <c r="R33" s="701">
        <f t="shared" si="9"/>
        <v>412211.71019247494</v>
      </c>
      <c r="S33" s="664">
        <f t="shared" si="10"/>
        <v>782657.5675275746</v>
      </c>
      <c r="T33" s="702">
        <f t="shared" si="12"/>
        <v>33026560.695173293</v>
      </c>
      <c r="Y33" s="449"/>
      <c r="Z33" s="450"/>
      <c r="AA33" s="451"/>
      <c r="AB33" s="439"/>
      <c r="AC33" s="451"/>
    </row>
    <row r="34" spans="2:29" ht="14.4" x14ac:dyDescent="0.3">
      <c r="B34" s="657" t="s">
        <v>832</v>
      </c>
      <c r="C34" s="658"/>
      <c r="D34" s="658">
        <f>D32+D33</f>
        <v>32301675.546222355</v>
      </c>
      <c r="E34" s="658">
        <f t="shared" ref="E34:M34" si="17">E32+E33</f>
        <v>37293309.837124363</v>
      </c>
      <c r="F34" s="658">
        <f t="shared" si="17"/>
        <v>42783033.423356563</v>
      </c>
      <c r="G34" s="658">
        <f t="shared" si="17"/>
        <v>49091890.621776804</v>
      </c>
      <c r="H34" s="658">
        <f t="shared" si="17"/>
        <v>55732133.454275139</v>
      </c>
      <c r="I34" s="658">
        <f t="shared" si="17"/>
        <v>63226440.690684117</v>
      </c>
      <c r="J34" s="658">
        <f t="shared" si="17"/>
        <v>71258717.97380805</v>
      </c>
      <c r="K34" s="658">
        <f t="shared" si="17"/>
        <v>80093037.054779887</v>
      </c>
      <c r="L34" s="658">
        <f t="shared" si="17"/>
        <v>89809578.394775152</v>
      </c>
      <c r="M34" s="658">
        <f t="shared" si="17"/>
        <v>125062023.76389852</v>
      </c>
      <c r="P34" s="700">
        <v>16</v>
      </c>
      <c r="Q34" s="665">
        <f t="shared" si="8"/>
        <v>1194869.2777200497</v>
      </c>
      <c r="R34" s="701">
        <f t="shared" si="9"/>
        <v>421859.81002385088</v>
      </c>
      <c r="S34" s="664">
        <f t="shared" si="10"/>
        <v>773009.46769619884</v>
      </c>
      <c r="T34" s="702">
        <f t="shared" si="12"/>
        <v>32604700.885149442</v>
      </c>
      <c r="Y34" s="449"/>
      <c r="Z34" s="450"/>
      <c r="AA34" s="451"/>
      <c r="AB34" s="439"/>
      <c r="AC34" s="451"/>
    </row>
    <row r="35" spans="2:29" ht="14.4" x14ac:dyDescent="0.3">
      <c r="B35" s="662" t="s">
        <v>833</v>
      </c>
      <c r="C35" s="663"/>
      <c r="D35" s="444">
        <f>-(D34*35%)</f>
        <v>-11305586.441177825</v>
      </c>
      <c r="E35" s="444">
        <f t="shared" ref="E35:M35" si="18">-(E34*35%)</f>
        <v>-13052658.442993525</v>
      </c>
      <c r="F35" s="444">
        <f t="shared" si="18"/>
        <v>-14974061.698174795</v>
      </c>
      <c r="G35" s="444">
        <f t="shared" si="18"/>
        <v>-17182161.717621882</v>
      </c>
      <c r="H35" s="444">
        <f t="shared" si="18"/>
        <v>-19506246.708996296</v>
      </c>
      <c r="I35" s="444">
        <f t="shared" si="18"/>
        <v>-22129254.241739441</v>
      </c>
      <c r="J35" s="444">
        <f t="shared" si="18"/>
        <v>-24940551.290832818</v>
      </c>
      <c r="K35" s="444">
        <f t="shared" si="18"/>
        <v>-28032562.969172958</v>
      </c>
      <c r="L35" s="444">
        <f t="shared" si="18"/>
        <v>-31433352.438171301</v>
      </c>
      <c r="M35" s="444">
        <f t="shared" si="18"/>
        <v>-43771708.317364477</v>
      </c>
      <c r="P35" s="700">
        <v>17</v>
      </c>
      <c r="Q35" s="665">
        <f t="shared" si="8"/>
        <v>1194869.2777200497</v>
      </c>
      <c r="R35" s="701">
        <f t="shared" si="9"/>
        <v>431733.73029665154</v>
      </c>
      <c r="S35" s="664">
        <f t="shared" si="10"/>
        <v>763135.54742339812</v>
      </c>
      <c r="T35" s="702">
        <f t="shared" si="12"/>
        <v>32172967.154852789</v>
      </c>
      <c r="Y35" s="449"/>
      <c r="Z35" s="450"/>
      <c r="AA35" s="451"/>
      <c r="AB35" s="439"/>
      <c r="AC35" s="451"/>
    </row>
    <row r="36" spans="2:29" ht="14.4" x14ac:dyDescent="0.3">
      <c r="B36" s="657" t="s">
        <v>834</v>
      </c>
      <c r="C36" s="658"/>
      <c r="D36" s="658">
        <f>D34+D35</f>
        <v>20996089.105044529</v>
      </c>
      <c r="E36" s="658">
        <f t="shared" ref="E36:M36" si="19">E34+E35</f>
        <v>24240651.394130837</v>
      </c>
      <c r="F36" s="658">
        <f t="shared" si="19"/>
        <v>27808971.725181766</v>
      </c>
      <c r="G36" s="658">
        <f t="shared" si="19"/>
        <v>31909728.904154923</v>
      </c>
      <c r="H36" s="658">
        <f t="shared" si="19"/>
        <v>36225886.745278843</v>
      </c>
      <c r="I36" s="658">
        <f t="shared" si="19"/>
        <v>41097186.448944673</v>
      </c>
      <c r="J36" s="658">
        <f t="shared" si="19"/>
        <v>46318166.682975233</v>
      </c>
      <c r="K36" s="658">
        <f t="shared" si="19"/>
        <v>52060474.085606933</v>
      </c>
      <c r="L36" s="658">
        <f t="shared" si="19"/>
        <v>58376225.956603855</v>
      </c>
      <c r="M36" s="658">
        <f t="shared" si="19"/>
        <v>81290315.446534038</v>
      </c>
      <c r="P36" s="700">
        <v>18</v>
      </c>
      <c r="Q36" s="665">
        <f t="shared" si="8"/>
        <v>1194869.2777200497</v>
      </c>
      <c r="R36" s="701">
        <f t="shared" si="9"/>
        <v>441838.75649430475</v>
      </c>
      <c r="S36" s="664">
        <f t="shared" si="10"/>
        <v>753030.52122574497</v>
      </c>
      <c r="T36" s="702">
        <f t="shared" si="12"/>
        <v>31731128.398358483</v>
      </c>
      <c r="Y36" s="449"/>
      <c r="Z36" s="450"/>
      <c r="AA36" s="451"/>
      <c r="AB36" s="439"/>
      <c r="AC36" s="451"/>
    </row>
    <row r="37" spans="2:29" ht="14.4" x14ac:dyDescent="0.3">
      <c r="B37" s="662" t="s">
        <v>810</v>
      </c>
      <c r="C37" s="663"/>
      <c r="D37" s="663">
        <f t="shared" ref="D37:M37" si="20">S13</f>
        <v>1366815.2539504131</v>
      </c>
      <c r="E37" s="663">
        <f t="shared" si="20"/>
        <v>1366815.2539504131</v>
      </c>
      <c r="F37" s="663">
        <f t="shared" si="20"/>
        <v>1366815.2539504131</v>
      </c>
      <c r="G37" s="663">
        <f t="shared" si="20"/>
        <v>1095558.3839504132</v>
      </c>
      <c r="H37" s="663">
        <f t="shared" si="20"/>
        <v>1095558.3839504132</v>
      </c>
      <c r="I37" s="663">
        <f t="shared" si="20"/>
        <v>904378.3839504132</v>
      </c>
      <c r="J37" s="663">
        <f t="shared" si="20"/>
        <v>904378.3839504132</v>
      </c>
      <c r="K37" s="663">
        <f t="shared" si="20"/>
        <v>904378.3839504132</v>
      </c>
      <c r="L37" s="663">
        <f t="shared" si="20"/>
        <v>904378.3839504132</v>
      </c>
      <c r="M37" s="663">
        <f t="shared" si="20"/>
        <v>904378.3839504132</v>
      </c>
      <c r="P37" s="700">
        <v>19</v>
      </c>
      <c r="Q37" s="665">
        <f t="shared" si="8"/>
        <v>1194869.2777200497</v>
      </c>
      <c r="R37" s="701">
        <f t="shared" si="9"/>
        <v>452180.29781062866</v>
      </c>
      <c r="S37" s="664">
        <f t="shared" si="10"/>
        <v>742688.97990942094</v>
      </c>
      <c r="T37" s="702">
        <f t="shared" si="12"/>
        <v>31278948.100547854</v>
      </c>
      <c r="Y37" s="449"/>
      <c r="Z37" s="450"/>
      <c r="AA37" s="451"/>
      <c r="AB37" s="439"/>
      <c r="AC37" s="451"/>
    </row>
    <row r="38" spans="2:29" ht="14.4" x14ac:dyDescent="0.3">
      <c r="B38" s="662" t="s">
        <v>838</v>
      </c>
      <c r="C38" s="663"/>
      <c r="D38" s="663">
        <v>0</v>
      </c>
      <c r="E38" s="663">
        <v>0</v>
      </c>
      <c r="F38" s="663">
        <v>0</v>
      </c>
      <c r="G38" s="663">
        <v>0</v>
      </c>
      <c r="H38" s="663">
        <v>0</v>
      </c>
      <c r="I38" s="663">
        <v>0</v>
      </c>
      <c r="J38" s="663">
        <v>0</v>
      </c>
      <c r="K38" s="663">
        <v>0</v>
      </c>
      <c r="L38" s="663">
        <v>0</v>
      </c>
      <c r="M38" s="663">
        <v>0</v>
      </c>
      <c r="P38" s="700">
        <v>20</v>
      </c>
      <c r="Q38" s="665">
        <f t="shared" si="8"/>
        <v>1194869.2777200497</v>
      </c>
      <c r="R38" s="701">
        <f t="shared" si="9"/>
        <v>462763.8900453595</v>
      </c>
      <c r="S38" s="664">
        <f t="shared" si="10"/>
        <v>732105.38767469011</v>
      </c>
      <c r="T38" s="702">
        <f t="shared" si="12"/>
        <v>30816184.210502494</v>
      </c>
      <c r="Y38" s="449"/>
      <c r="Z38" s="450"/>
      <c r="AA38" s="451"/>
      <c r="AB38" s="439"/>
      <c r="AC38" s="451"/>
    </row>
    <row r="39" spans="2:29" ht="14.4" x14ac:dyDescent="0.3">
      <c r="B39" s="662" t="s">
        <v>835</v>
      </c>
      <c r="C39" s="663"/>
      <c r="D39" s="663">
        <v>0</v>
      </c>
      <c r="E39" s="663">
        <v>0</v>
      </c>
      <c r="F39" s="663">
        <v>0</v>
      </c>
      <c r="G39" s="663">
        <v>0</v>
      </c>
      <c r="H39" s="663">
        <v>0</v>
      </c>
      <c r="I39" s="663">
        <v>0</v>
      </c>
      <c r="J39" s="663">
        <v>0</v>
      </c>
      <c r="K39" s="663">
        <v>0</v>
      </c>
      <c r="L39" s="663">
        <v>0</v>
      </c>
      <c r="M39" s="663">
        <v>0</v>
      </c>
      <c r="P39" s="700">
        <v>21</v>
      </c>
      <c r="Q39" s="665">
        <f t="shared" si="8"/>
        <v>1194869.2777200497</v>
      </c>
      <c r="R39" s="701">
        <f t="shared" si="9"/>
        <v>473595.1985674504</v>
      </c>
      <c r="S39" s="664">
        <f t="shared" si="10"/>
        <v>721274.07915259933</v>
      </c>
      <c r="T39" s="702">
        <f t="shared" si="12"/>
        <v>30342589.011935044</v>
      </c>
      <c r="Y39" s="449"/>
      <c r="Z39" s="450"/>
      <c r="AA39" s="451"/>
      <c r="AB39" s="439"/>
      <c r="AC39" s="451"/>
    </row>
    <row r="40" spans="2:29" ht="14.4" x14ac:dyDescent="0.3">
      <c r="B40" s="659" t="s">
        <v>836</v>
      </c>
      <c r="C40" s="660">
        <f>SUM(C25:C39)</f>
        <v>-76330563.186687887</v>
      </c>
      <c r="D40" s="661">
        <f>D36+D37</f>
        <v>22362904.358994942</v>
      </c>
      <c r="E40" s="661">
        <f t="shared" ref="E40:L40" si="21">E36+E37</f>
        <v>25607466.64808125</v>
      </c>
      <c r="F40" s="661">
        <f t="shared" si="21"/>
        <v>29175786.979132179</v>
      </c>
      <c r="G40" s="661">
        <f t="shared" si="21"/>
        <v>33005287.288105335</v>
      </c>
      <c r="H40" s="661">
        <f t="shared" si="21"/>
        <v>37321445.129229255</v>
      </c>
      <c r="I40" s="661">
        <f t="shared" si="21"/>
        <v>42001564.832895085</v>
      </c>
      <c r="J40" s="661">
        <f t="shared" si="21"/>
        <v>47222545.066925645</v>
      </c>
      <c r="K40" s="661">
        <f t="shared" si="21"/>
        <v>52964852.469557345</v>
      </c>
      <c r="L40" s="661">
        <f t="shared" si="21"/>
        <v>59280604.340554267</v>
      </c>
      <c r="M40" s="661">
        <f>M36+M37</f>
        <v>82194693.83048445</v>
      </c>
      <c r="P40" s="700">
        <v>22</v>
      </c>
      <c r="Q40" s="665">
        <f t="shared" si="8"/>
        <v>1194869.2777200497</v>
      </c>
      <c r="R40" s="701">
        <f t="shared" si="9"/>
        <v>484680.02134772879</v>
      </c>
      <c r="S40" s="664">
        <f t="shared" si="10"/>
        <v>710189.25637232093</v>
      </c>
      <c r="T40" s="702">
        <f t="shared" si="12"/>
        <v>29857908.990587316</v>
      </c>
      <c r="Y40" s="449"/>
      <c r="Z40" s="450"/>
      <c r="AA40" s="451"/>
      <c r="AB40" s="439"/>
      <c r="AC40" s="451"/>
    </row>
    <row r="41" spans="2:29" ht="14.4" x14ac:dyDescent="0.3">
      <c r="P41" s="700">
        <v>23</v>
      </c>
      <c r="Q41" s="665">
        <f t="shared" si="8"/>
        <v>1194869.2777200497</v>
      </c>
      <c r="R41" s="701">
        <f t="shared" si="9"/>
        <v>496024.2920625339</v>
      </c>
      <c r="S41" s="664">
        <f t="shared" si="10"/>
        <v>698844.98565751559</v>
      </c>
      <c r="T41" s="702">
        <f t="shared" si="12"/>
        <v>29361884.698524784</v>
      </c>
      <c r="Y41" s="449"/>
      <c r="Z41" s="450"/>
      <c r="AA41" s="451"/>
      <c r="AB41" s="439"/>
      <c r="AC41" s="451"/>
    </row>
    <row r="42" spans="2:29" ht="13.95" customHeight="1" x14ac:dyDescent="0.3">
      <c r="B42" s="1060" t="s">
        <v>840</v>
      </c>
      <c r="C42" s="1061"/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P42" s="700">
        <v>24</v>
      </c>
      <c r="Q42" s="665">
        <f t="shared" si="8"/>
        <v>1194869.2777200497</v>
      </c>
      <c r="R42" s="701">
        <f t="shared" si="9"/>
        <v>507634.08326999925</v>
      </c>
      <c r="S42" s="664">
        <f t="shared" si="10"/>
        <v>687235.19445005036</v>
      </c>
      <c r="T42" s="702">
        <f t="shared" si="12"/>
        <v>28854250.615254786</v>
      </c>
      <c r="Y42" s="449"/>
      <c r="Z42" s="450"/>
      <c r="AA42" s="451"/>
      <c r="AB42" s="439"/>
      <c r="AC42" s="451"/>
    </row>
    <row r="43" spans="2:29" ht="13.95" customHeight="1" x14ac:dyDescent="0.3">
      <c r="B43" s="1064"/>
      <c r="C43" s="1065"/>
      <c r="D43" s="439"/>
      <c r="E43" s="439"/>
      <c r="F43" s="439"/>
      <c r="G43" s="439"/>
      <c r="H43" s="439"/>
      <c r="I43" s="439"/>
      <c r="J43" s="439"/>
      <c r="K43" s="439"/>
      <c r="L43" s="439"/>
      <c r="M43" s="439"/>
      <c r="P43" s="700">
        <v>25</v>
      </c>
      <c r="Q43" s="665">
        <f t="shared" si="8"/>
        <v>1194869.2777200497</v>
      </c>
      <c r="R43" s="701">
        <f t="shared" si="9"/>
        <v>519515.6096606761</v>
      </c>
      <c r="S43" s="664">
        <f t="shared" si="10"/>
        <v>675353.66805937351</v>
      </c>
      <c r="T43" s="702">
        <f t="shared" si="12"/>
        <v>28334735.005594108</v>
      </c>
      <c r="Y43" s="449"/>
      <c r="Z43" s="450"/>
      <c r="AA43" s="451"/>
      <c r="AB43" s="439"/>
      <c r="AC43" s="451"/>
    </row>
    <row r="44" spans="2:29" ht="14.4" x14ac:dyDescent="0.3">
      <c r="B44" s="443" t="s">
        <v>824</v>
      </c>
      <c r="C44" s="443">
        <v>0</v>
      </c>
      <c r="D44" s="443">
        <v>1</v>
      </c>
      <c r="E44" s="443">
        <v>2</v>
      </c>
      <c r="F44" s="443">
        <v>3</v>
      </c>
      <c r="G44" s="443">
        <v>4</v>
      </c>
      <c r="H44" s="443">
        <v>5</v>
      </c>
      <c r="I44" s="443">
        <v>6</v>
      </c>
      <c r="J44" s="443">
        <v>7</v>
      </c>
      <c r="K44" s="443">
        <v>8</v>
      </c>
      <c r="L44" s="443">
        <v>9</v>
      </c>
      <c r="M44" s="443">
        <v>10</v>
      </c>
      <c r="P44" s="700">
        <v>26</v>
      </c>
      <c r="Q44" s="665">
        <f t="shared" si="8"/>
        <v>1194869.2777200497</v>
      </c>
      <c r="R44" s="701">
        <f t="shared" si="9"/>
        <v>531675.23138424102</v>
      </c>
      <c r="S44" s="664">
        <f t="shared" si="10"/>
        <v>663194.0463358087</v>
      </c>
      <c r="T44" s="702">
        <f t="shared" si="12"/>
        <v>27803059.774209868</v>
      </c>
      <c r="Y44" s="449"/>
      <c r="Z44" s="450"/>
      <c r="AA44" s="451"/>
      <c r="AB44" s="439"/>
      <c r="AC44" s="451"/>
    </row>
    <row r="45" spans="2:29" ht="14.4" x14ac:dyDescent="0.3">
      <c r="B45" s="662" t="s">
        <v>825</v>
      </c>
      <c r="C45" s="444">
        <f>-Inversiones!E77</f>
        <v>-74066147.449504033</v>
      </c>
      <c r="D45" s="663"/>
      <c r="E45" s="663"/>
      <c r="F45" s="663"/>
      <c r="G45" s="663"/>
      <c r="H45" s="663"/>
      <c r="I45" s="663"/>
      <c r="J45" s="663"/>
      <c r="K45" s="663"/>
      <c r="L45" s="663"/>
      <c r="M45" s="663"/>
      <c r="P45" s="700">
        <v>27</v>
      </c>
      <c r="Q45" s="665">
        <f t="shared" si="8"/>
        <v>1194869.2777200497</v>
      </c>
      <c r="R45" s="701">
        <f t="shared" si="9"/>
        <v>544119.45745406754</v>
      </c>
      <c r="S45" s="664">
        <f t="shared" si="10"/>
        <v>650749.82026598207</v>
      </c>
      <c r="T45" s="702">
        <f t="shared" si="12"/>
        <v>27258940.316755801</v>
      </c>
      <c r="Y45" s="449"/>
      <c r="Z45" s="450"/>
      <c r="AA45" s="451"/>
      <c r="AB45" s="439"/>
      <c r="AC45" s="451"/>
    </row>
    <row r="46" spans="2:29" ht="14.4" x14ac:dyDescent="0.3">
      <c r="B46" s="662" t="s">
        <v>826</v>
      </c>
      <c r="C46" s="427">
        <f>C20</f>
        <v>-2264415.7371838549</v>
      </c>
      <c r="D46" s="663"/>
      <c r="E46" s="663"/>
      <c r="F46" s="663"/>
      <c r="G46" s="663"/>
      <c r="H46" s="663"/>
      <c r="I46" s="663"/>
      <c r="J46" s="663"/>
      <c r="K46" s="663"/>
      <c r="L46" s="663"/>
      <c r="M46" s="663">
        <f>-C46</f>
        <v>2264415.7371838549</v>
      </c>
      <c r="P46" s="700">
        <v>28</v>
      </c>
      <c r="Q46" s="665">
        <f t="shared" si="8"/>
        <v>1194869.2777200497</v>
      </c>
      <c r="R46" s="701">
        <f t="shared" si="9"/>
        <v>556854.94923148374</v>
      </c>
      <c r="S46" s="664">
        <f t="shared" si="10"/>
        <v>638014.32848856586</v>
      </c>
      <c r="T46" s="702">
        <f t="shared" si="12"/>
        <v>26702085.367524318</v>
      </c>
      <c r="Y46" s="449"/>
      <c r="Z46" s="450"/>
      <c r="AA46" s="451"/>
      <c r="AB46" s="439"/>
      <c r="AC46" s="451"/>
    </row>
    <row r="47" spans="2:29" ht="14.4" x14ac:dyDescent="0.3">
      <c r="B47" s="662" t="s">
        <v>827</v>
      </c>
      <c r="C47" s="663"/>
      <c r="D47" s="663"/>
      <c r="E47" s="663"/>
      <c r="F47" s="663"/>
      <c r="G47" s="663"/>
      <c r="H47" s="663"/>
      <c r="I47" s="663"/>
      <c r="J47" s="663"/>
      <c r="K47" s="663"/>
      <c r="L47" s="663"/>
      <c r="M47" s="663">
        <f>$Q$5-SUM($S$5:$AB$5)</f>
        <v>22301068</v>
      </c>
      <c r="P47" s="700">
        <v>29</v>
      </c>
      <c r="Q47" s="665">
        <f t="shared" si="8"/>
        <v>1194869.2777200497</v>
      </c>
      <c r="R47" s="701">
        <f t="shared" si="9"/>
        <v>569888.5239915807</v>
      </c>
      <c r="S47" s="664">
        <f t="shared" si="10"/>
        <v>624980.7537284689</v>
      </c>
      <c r="T47" s="702">
        <f t="shared" si="12"/>
        <v>26132196.843532737</v>
      </c>
      <c r="Y47" s="449"/>
      <c r="Z47" s="450"/>
      <c r="AA47" s="451"/>
      <c r="AB47" s="439"/>
      <c r="AC47" s="451"/>
    </row>
    <row r="48" spans="2:29" ht="14.4" x14ac:dyDescent="0.3">
      <c r="B48" s="662" t="s">
        <v>828</v>
      </c>
      <c r="C48" s="663"/>
      <c r="D48" s="663">
        <f>F8</f>
        <v>85362055.940624461</v>
      </c>
      <c r="E48" s="663">
        <f>D48+D48*10%</f>
        <v>93898261.534686908</v>
      </c>
      <c r="F48" s="663">
        <f t="shared" ref="F48:M48" si="22">E48+E48*10%</f>
        <v>103288087.68815559</v>
      </c>
      <c r="G48" s="663">
        <f t="shared" si="22"/>
        <v>113616896.45697115</v>
      </c>
      <c r="H48" s="663">
        <f t="shared" si="22"/>
        <v>124978586.10266827</v>
      </c>
      <c r="I48" s="663">
        <f t="shared" si="22"/>
        <v>137476444.71293509</v>
      </c>
      <c r="J48" s="663">
        <f t="shared" si="22"/>
        <v>151224089.1842286</v>
      </c>
      <c r="K48" s="663">
        <f t="shared" si="22"/>
        <v>166346498.10265145</v>
      </c>
      <c r="L48" s="663">
        <f t="shared" si="22"/>
        <v>182981147.9129166</v>
      </c>
      <c r="M48" s="663">
        <f t="shared" si="22"/>
        <v>201279262.70420825</v>
      </c>
      <c r="P48" s="700">
        <v>30</v>
      </c>
      <c r="Q48" s="665">
        <f t="shared" si="8"/>
        <v>1194869.2777200497</v>
      </c>
      <c r="R48" s="701">
        <f t="shared" si="9"/>
        <v>583227.15857248299</v>
      </c>
      <c r="S48" s="664">
        <f t="shared" si="10"/>
        <v>611642.11914756685</v>
      </c>
      <c r="T48" s="702">
        <f t="shared" si="12"/>
        <v>25548969.684960254</v>
      </c>
      <c r="Y48" s="449"/>
      <c r="Z48" s="450"/>
      <c r="AA48" s="451"/>
      <c r="AB48" s="439"/>
      <c r="AC48" s="451"/>
    </row>
    <row r="49" spans="2:29" ht="14.4" x14ac:dyDescent="0.3">
      <c r="B49" s="662" t="s">
        <v>829</v>
      </c>
      <c r="C49" s="663"/>
      <c r="D49" s="663">
        <f>'Unidades de Negocio'!$D$9</f>
        <v>671333.6</v>
      </c>
      <c r="E49" s="663">
        <f>D49+D49*2%</f>
        <v>684760.272</v>
      </c>
      <c r="F49" s="663">
        <f t="shared" ref="F49:M49" si="23">E49+E49*2%</f>
        <v>698455.47744000005</v>
      </c>
      <c r="G49" s="663">
        <f t="shared" si="23"/>
        <v>712424.58698880009</v>
      </c>
      <c r="H49" s="663">
        <f t="shared" si="23"/>
        <v>726673.07872857607</v>
      </c>
      <c r="I49" s="663">
        <f t="shared" si="23"/>
        <v>741206.54030314763</v>
      </c>
      <c r="J49" s="663">
        <f t="shared" si="23"/>
        <v>756030.67110921058</v>
      </c>
      <c r="K49" s="663">
        <f t="shared" si="23"/>
        <v>771151.28453139483</v>
      </c>
      <c r="L49" s="663">
        <f t="shared" si="23"/>
        <v>786574.3102220227</v>
      </c>
      <c r="M49" s="663">
        <f t="shared" si="23"/>
        <v>802305.79642646317</v>
      </c>
      <c r="P49" s="700">
        <v>31</v>
      </c>
      <c r="Q49" s="665">
        <f t="shared" si="8"/>
        <v>1194869.2777200497</v>
      </c>
      <c r="R49" s="701">
        <f t="shared" si="9"/>
        <v>596877.99311003042</v>
      </c>
      <c r="S49" s="664">
        <f t="shared" si="10"/>
        <v>597991.28461001918</v>
      </c>
      <c r="T49" s="702">
        <f t="shared" si="12"/>
        <v>24952091.691850223</v>
      </c>
      <c r="Y49" s="449"/>
      <c r="Z49" s="450"/>
      <c r="AA49" s="451"/>
      <c r="AB49" s="439"/>
      <c r="AC49" s="451"/>
    </row>
    <row r="50" spans="2:29" ht="14.4" x14ac:dyDescent="0.3">
      <c r="B50" s="662" t="s">
        <v>830</v>
      </c>
      <c r="C50" s="663"/>
      <c r="D50" s="444">
        <f>-('Costos Totales'!F36)*12</f>
        <v>-35579979.751604408</v>
      </c>
      <c r="E50" s="444">
        <f>D50+D50*10%</f>
        <v>-39137977.72676485</v>
      </c>
      <c r="F50" s="444">
        <f t="shared" ref="F50:M50" si="24">E50+E50*10%</f>
        <v>-43051775.499441333</v>
      </c>
      <c r="G50" s="444">
        <f t="shared" si="24"/>
        <v>-47356953.049385466</v>
      </c>
      <c r="H50" s="444">
        <f t="shared" si="24"/>
        <v>-52092648.354324013</v>
      </c>
      <c r="I50" s="444">
        <f t="shared" si="24"/>
        <v>-57301913.189756416</v>
      </c>
      <c r="J50" s="444">
        <f t="shared" si="24"/>
        <v>-63032104.508732058</v>
      </c>
      <c r="K50" s="444">
        <f t="shared" si="24"/>
        <v>-69335314.959605262</v>
      </c>
      <c r="L50" s="444">
        <f t="shared" si="24"/>
        <v>-76268846.45556578</v>
      </c>
      <c r="M50" s="444">
        <f t="shared" si="24"/>
        <v>-83895731.101122364</v>
      </c>
      <c r="P50" s="700">
        <v>32</v>
      </c>
      <c r="Q50" s="665">
        <f t="shared" si="8"/>
        <v>1194869.2777200497</v>
      </c>
      <c r="R50" s="701">
        <f t="shared" si="9"/>
        <v>610848.33485987526</v>
      </c>
      <c r="S50" s="664">
        <f t="shared" si="10"/>
        <v>584020.94286017446</v>
      </c>
      <c r="T50" s="702">
        <f t="shared" si="12"/>
        <v>24341243.356990349</v>
      </c>
      <c r="Y50" s="449"/>
      <c r="Z50" s="450"/>
      <c r="AA50" s="451"/>
      <c r="AB50" s="439"/>
      <c r="AC50" s="451"/>
    </row>
    <row r="51" spans="2:29" ht="14.4" x14ac:dyDescent="0.3">
      <c r="B51" s="662" t="s">
        <v>837</v>
      </c>
      <c r="C51" s="663"/>
      <c r="D51" s="444">
        <f>-(SUM(S19:S30))</f>
        <v>-10262008.235767661</v>
      </c>
      <c r="E51" s="444">
        <f>-(SUM(S31:S42))</f>
        <v>-8957552.8447683118</v>
      </c>
      <c r="F51" s="444">
        <f>-(SUM(S43:S54))</f>
        <v>-7235671.7286491739</v>
      </c>
      <c r="G51" s="444">
        <f>-(SUM(S55:S66))</f>
        <v>-4962788.65537191</v>
      </c>
      <c r="H51" s="444">
        <f>-(SUM(S67:S78))</f>
        <v>-1962582.998645918</v>
      </c>
      <c r="I51" s="444"/>
      <c r="J51" s="444"/>
      <c r="K51" s="444"/>
      <c r="L51" s="444"/>
      <c r="M51" s="444"/>
      <c r="P51" s="700">
        <v>33</v>
      </c>
      <c r="Q51" s="665">
        <f t="shared" si="8"/>
        <v>1194869.2777200497</v>
      </c>
      <c r="R51" s="701">
        <f t="shared" si="9"/>
        <v>625145.6621090353</v>
      </c>
      <c r="S51" s="664">
        <f t="shared" si="10"/>
        <v>569723.61561101431</v>
      </c>
      <c r="T51" s="702">
        <f t="shared" si="12"/>
        <v>23716097.694881313</v>
      </c>
      <c r="Y51" s="449"/>
      <c r="Z51" s="450"/>
      <c r="AA51" s="451"/>
      <c r="AB51" s="439"/>
      <c r="AC51" s="451"/>
    </row>
    <row r="52" spans="2:29" ht="14.4" x14ac:dyDescent="0.3">
      <c r="B52" s="657" t="s">
        <v>831</v>
      </c>
      <c r="C52" s="658"/>
      <c r="D52" s="658">
        <f>SUM(D48:D51)</f>
        <v>40191401.553252384</v>
      </c>
      <c r="E52" s="658">
        <f t="shared" ref="E52:L52" si="25">SUM(E48:E51)</f>
        <v>46487491.23515375</v>
      </c>
      <c r="F52" s="658">
        <f t="shared" si="25"/>
        <v>53699095.937505081</v>
      </c>
      <c r="G52" s="658">
        <f t="shared" si="25"/>
        <v>62009579.339202583</v>
      </c>
      <c r="H52" s="658">
        <f t="shared" si="25"/>
        <v>71650027.828426912</v>
      </c>
      <c r="I52" s="658">
        <f t="shared" si="25"/>
        <v>80915738.063481808</v>
      </c>
      <c r="J52" s="658">
        <f t="shared" si="25"/>
        <v>88948015.346605748</v>
      </c>
      <c r="K52" s="658">
        <f t="shared" si="25"/>
        <v>97782334.42757757</v>
      </c>
      <c r="L52" s="658">
        <f t="shared" si="25"/>
        <v>107498875.76757285</v>
      </c>
      <c r="M52" s="658">
        <f>SUM(M46:M51)</f>
        <v>142751321.13669622</v>
      </c>
      <c r="P52" s="700">
        <v>34</v>
      </c>
      <c r="Q52" s="665">
        <f t="shared" si="8"/>
        <v>1194869.2777200497</v>
      </c>
      <c r="R52" s="701">
        <f t="shared" si="9"/>
        <v>639777.62817900267</v>
      </c>
      <c r="S52" s="664">
        <f t="shared" si="10"/>
        <v>555091.64954104705</v>
      </c>
      <c r="T52" s="702">
        <f t="shared" si="12"/>
        <v>23076320.06670231</v>
      </c>
      <c r="Y52" s="449"/>
      <c r="Z52" s="450"/>
      <c r="AA52" s="451"/>
      <c r="AB52" s="439"/>
      <c r="AC52" s="451"/>
    </row>
    <row r="53" spans="2:29" ht="14.4" x14ac:dyDescent="0.3">
      <c r="B53" s="662" t="s">
        <v>841</v>
      </c>
      <c r="C53" s="663"/>
      <c r="D53" s="444">
        <f>-('Punto de Equilibrio'!$L$15+'Estudio Financiero'!S13)</f>
        <v>-18151734.242797691</v>
      </c>
      <c r="E53" s="444">
        <f>-('Punto de Equilibrio'!$L$15+'Estudio Financiero'!T13)</f>
        <v>-18151734.242797691</v>
      </c>
      <c r="F53" s="444">
        <f>-('Punto de Equilibrio'!$L$15+'Estudio Financiero'!U13)</f>
        <v>-18151734.242797691</v>
      </c>
      <c r="G53" s="444">
        <f>-('Punto de Equilibrio'!$L$15+'Estudio Financiero'!V13)</f>
        <v>-17880477.37279769</v>
      </c>
      <c r="H53" s="444">
        <f>-('Punto de Equilibrio'!$L$15+'Estudio Financiero'!W13)</f>
        <v>-17880477.37279769</v>
      </c>
      <c r="I53" s="444">
        <f>-('Punto de Equilibrio'!$L$15+'Estudio Financiero'!X13)</f>
        <v>-17689297.37279769</v>
      </c>
      <c r="J53" s="444">
        <f>-('Punto de Equilibrio'!$L$15+'Estudio Financiero'!Y13)</f>
        <v>-17689297.37279769</v>
      </c>
      <c r="K53" s="444">
        <f>-('Punto de Equilibrio'!$L$15+'Estudio Financiero'!Z13)</f>
        <v>-17689297.37279769</v>
      </c>
      <c r="L53" s="444">
        <f>-('Punto de Equilibrio'!$L$15+'Estudio Financiero'!AA13)</f>
        <v>-17689297.37279769</v>
      </c>
      <c r="M53" s="444">
        <f>-('Punto de Equilibrio'!$L$15+'Estudio Financiero'!AB13)</f>
        <v>-17689297.37279769</v>
      </c>
      <c r="P53" s="700">
        <v>35</v>
      </c>
      <c r="Q53" s="665">
        <f t="shared" si="8"/>
        <v>1194869.2777200497</v>
      </c>
      <c r="R53" s="701">
        <f t="shared" si="9"/>
        <v>654752.06552254548</v>
      </c>
      <c r="S53" s="664">
        <f t="shared" si="10"/>
        <v>540117.21219750412</v>
      </c>
      <c r="T53" s="702">
        <f t="shared" si="12"/>
        <v>22421568.001179766</v>
      </c>
      <c r="Y53" s="449"/>
      <c r="Z53" s="450"/>
      <c r="AA53" s="451"/>
      <c r="AB53" s="439"/>
      <c r="AC53" s="451"/>
    </row>
    <row r="54" spans="2:29" ht="14.4" x14ac:dyDescent="0.3">
      <c r="B54" s="657" t="s">
        <v>832</v>
      </c>
      <c r="C54" s="658"/>
      <c r="D54" s="658">
        <f>D52+D53</f>
        <v>22039667.310454693</v>
      </c>
      <c r="E54" s="658">
        <f t="shared" ref="E54:M54" si="26">E52+E53</f>
        <v>28335756.992356058</v>
      </c>
      <c r="F54" s="658">
        <f t="shared" si="26"/>
        <v>35547361.694707394</v>
      </c>
      <c r="G54" s="658">
        <f t="shared" si="26"/>
        <v>44129101.966404893</v>
      </c>
      <c r="H54" s="658">
        <f t="shared" si="26"/>
        <v>53769550.455629222</v>
      </c>
      <c r="I54" s="658">
        <f t="shared" si="26"/>
        <v>63226440.690684117</v>
      </c>
      <c r="J54" s="658">
        <f t="shared" si="26"/>
        <v>71258717.97380805</v>
      </c>
      <c r="K54" s="658">
        <f t="shared" si="26"/>
        <v>80093037.054779887</v>
      </c>
      <c r="L54" s="658">
        <f t="shared" si="26"/>
        <v>89809578.394775152</v>
      </c>
      <c r="M54" s="658">
        <f t="shared" si="26"/>
        <v>125062023.76389852</v>
      </c>
      <c r="P54" s="700">
        <v>36</v>
      </c>
      <c r="Q54" s="665">
        <f t="shared" si="8"/>
        <v>1194869.2777200497</v>
      </c>
      <c r="R54" s="701">
        <f t="shared" si="9"/>
        <v>670076.98991639982</v>
      </c>
      <c r="S54" s="664">
        <f t="shared" si="10"/>
        <v>524792.2878036499</v>
      </c>
      <c r="T54" s="702">
        <f t="shared" si="12"/>
        <v>21751491.011263367</v>
      </c>
      <c r="Y54" s="449"/>
      <c r="Z54" s="450"/>
      <c r="AA54" s="451"/>
      <c r="AB54" s="439"/>
      <c r="AC54" s="451"/>
    </row>
    <row r="55" spans="2:29" ht="14.4" x14ac:dyDescent="0.3">
      <c r="B55" s="662" t="s">
        <v>833</v>
      </c>
      <c r="C55" s="663"/>
      <c r="D55" s="444">
        <f>-(D54*35%)</f>
        <v>-7713883.5586591419</v>
      </c>
      <c r="E55" s="444">
        <f t="shared" ref="E55" si="27">-(E54*35%)</f>
        <v>-9917514.9473246206</v>
      </c>
      <c r="F55" s="444">
        <f t="shared" ref="F55" si="28">-(F54*35%)</f>
        <v>-12441576.593147587</v>
      </c>
      <c r="G55" s="444">
        <f t="shared" ref="G55" si="29">-(G54*35%)</f>
        <v>-15445185.688241711</v>
      </c>
      <c r="H55" s="444">
        <f t="shared" ref="H55" si="30">-(H54*35%)</f>
        <v>-18819342.659470227</v>
      </c>
      <c r="I55" s="444">
        <f t="shared" ref="I55" si="31">-(I54*35%)</f>
        <v>-22129254.241739441</v>
      </c>
      <c r="J55" s="444">
        <f t="shared" ref="J55" si="32">-(J54*35%)</f>
        <v>-24940551.290832818</v>
      </c>
      <c r="K55" s="444">
        <f t="shared" ref="K55" si="33">-(K54*35%)</f>
        <v>-28032562.969172958</v>
      </c>
      <c r="L55" s="444">
        <f t="shared" ref="L55" si="34">-(L54*35%)</f>
        <v>-31433352.438171301</v>
      </c>
      <c r="M55" s="444">
        <f t="shared" ref="M55" si="35">-(M54*35%)</f>
        <v>-43771708.317364477</v>
      </c>
      <c r="P55" s="700">
        <v>37</v>
      </c>
      <c r="Q55" s="665">
        <f t="shared" ref="Q55:Q78" si="36">PMT($W$20,$W$19,-$W$18)</f>
        <v>1194869.2777200497</v>
      </c>
      <c r="R55" s="701">
        <f t="shared" ref="R55:R78" si="37">PPMT($W$20,P55,$W$19,-$W$18)</f>
        <v>685760.60475209309</v>
      </c>
      <c r="S55" s="664">
        <f t="shared" ref="S55:S78" si="38">IPMT($W$20,P55,$W$19,-$W$18)</f>
        <v>509108.67296795652</v>
      </c>
      <c r="T55" s="702">
        <f t="shared" si="12"/>
        <v>21065730.406511273</v>
      </c>
      <c r="Y55" s="449"/>
      <c r="Z55" s="350"/>
      <c r="AA55" s="350"/>
      <c r="AB55" s="350"/>
      <c r="AC55" s="350"/>
    </row>
    <row r="56" spans="2:29" ht="14.4" x14ac:dyDescent="0.3">
      <c r="B56" s="657" t="s">
        <v>834</v>
      </c>
      <c r="C56" s="658"/>
      <c r="D56" s="658">
        <f>D54+D55</f>
        <v>14325783.751795551</v>
      </c>
      <c r="E56" s="658">
        <f t="shared" ref="E56:M56" si="39">E54+E55</f>
        <v>18418242.045031436</v>
      </c>
      <c r="F56" s="658">
        <f t="shared" si="39"/>
        <v>23105785.101559807</v>
      </c>
      <c r="G56" s="658">
        <f t="shared" si="39"/>
        <v>28683916.27816318</v>
      </c>
      <c r="H56" s="658">
        <f t="shared" si="39"/>
        <v>34950207.796158999</v>
      </c>
      <c r="I56" s="658">
        <f t="shared" si="39"/>
        <v>41097186.448944673</v>
      </c>
      <c r="J56" s="658">
        <f t="shared" si="39"/>
        <v>46318166.682975233</v>
      </c>
      <c r="K56" s="658">
        <f t="shared" si="39"/>
        <v>52060474.085606933</v>
      </c>
      <c r="L56" s="658">
        <f t="shared" si="39"/>
        <v>58376225.956603855</v>
      </c>
      <c r="M56" s="658">
        <f t="shared" si="39"/>
        <v>81290315.446534038</v>
      </c>
      <c r="P56" s="700">
        <v>38</v>
      </c>
      <c r="Q56" s="665">
        <f t="shared" si="36"/>
        <v>1194869.2777200497</v>
      </c>
      <c r="R56" s="701">
        <f t="shared" si="37"/>
        <v>701811.30542719876</v>
      </c>
      <c r="S56" s="664">
        <f t="shared" si="38"/>
        <v>493057.97229285067</v>
      </c>
      <c r="T56" s="702">
        <f t="shared" si="12"/>
        <v>20363919.101084076</v>
      </c>
      <c r="Y56" s="449"/>
      <c r="Z56" s="350"/>
      <c r="AA56" s="350"/>
      <c r="AB56" s="350"/>
      <c r="AC56" s="350"/>
    </row>
    <row r="57" spans="2:29" ht="14.4" x14ac:dyDescent="0.3">
      <c r="B57" s="662" t="s">
        <v>810</v>
      </c>
      <c r="C57" s="663"/>
      <c r="D57" s="663">
        <f t="shared" ref="D57:M57" si="40">S13</f>
        <v>1366815.2539504131</v>
      </c>
      <c r="E57" s="663">
        <f t="shared" si="40"/>
        <v>1366815.2539504131</v>
      </c>
      <c r="F57" s="663">
        <f t="shared" si="40"/>
        <v>1366815.2539504131</v>
      </c>
      <c r="G57" s="663">
        <f t="shared" si="40"/>
        <v>1095558.3839504132</v>
      </c>
      <c r="H57" s="663">
        <f t="shared" si="40"/>
        <v>1095558.3839504132</v>
      </c>
      <c r="I57" s="663">
        <f t="shared" si="40"/>
        <v>904378.3839504132</v>
      </c>
      <c r="J57" s="663">
        <f t="shared" si="40"/>
        <v>904378.3839504132</v>
      </c>
      <c r="K57" s="663">
        <f t="shared" si="40"/>
        <v>904378.3839504132</v>
      </c>
      <c r="L57" s="663">
        <f t="shared" si="40"/>
        <v>904378.3839504132</v>
      </c>
      <c r="M57" s="663">
        <f t="shared" si="40"/>
        <v>904378.3839504132</v>
      </c>
      <c r="P57" s="700">
        <v>39</v>
      </c>
      <c r="Q57" s="665">
        <f t="shared" si="36"/>
        <v>1194869.2777200497</v>
      </c>
      <c r="R57" s="701">
        <f t="shared" si="37"/>
        <v>718237.68383936991</v>
      </c>
      <c r="S57" s="664">
        <f t="shared" si="38"/>
        <v>476631.59388067957</v>
      </c>
      <c r="T57" s="702">
        <f t="shared" si="12"/>
        <v>19645681.417244706</v>
      </c>
      <c r="Y57" s="449"/>
      <c r="Z57" s="350"/>
      <c r="AA57" s="350"/>
      <c r="AB57" s="350"/>
      <c r="AC57" s="350"/>
    </row>
    <row r="58" spans="2:29" ht="14.4" x14ac:dyDescent="0.3">
      <c r="B58" s="662" t="s">
        <v>838</v>
      </c>
      <c r="C58" s="663">
        <f>W18</f>
        <v>38311552.200000003</v>
      </c>
      <c r="D58" s="663">
        <v>0</v>
      </c>
      <c r="E58" s="663">
        <v>0</v>
      </c>
      <c r="F58" s="663">
        <v>0</v>
      </c>
      <c r="G58" s="663">
        <v>0</v>
      </c>
      <c r="H58" s="663">
        <v>0</v>
      </c>
      <c r="I58" s="663">
        <v>0</v>
      </c>
      <c r="J58" s="663">
        <v>0</v>
      </c>
      <c r="K58" s="663">
        <v>0</v>
      </c>
      <c r="L58" s="663">
        <v>0</v>
      </c>
      <c r="M58" s="663">
        <v>0</v>
      </c>
      <c r="P58" s="700">
        <v>40</v>
      </c>
      <c r="Q58" s="665">
        <f t="shared" si="36"/>
        <v>1194869.2777200497</v>
      </c>
      <c r="R58" s="701">
        <f t="shared" si="37"/>
        <v>735048.53298555932</v>
      </c>
      <c r="S58" s="664">
        <f t="shared" si="38"/>
        <v>459820.74473449041</v>
      </c>
      <c r="T58" s="702">
        <f t="shared" si="12"/>
        <v>18910632.884259146</v>
      </c>
      <c r="Y58" s="449"/>
      <c r="Z58" s="350"/>
      <c r="AA58" s="350"/>
      <c r="AB58" s="350"/>
      <c r="AC58" s="350"/>
    </row>
    <row r="59" spans="2:29" ht="14.4" x14ac:dyDescent="0.3">
      <c r="B59" s="662" t="s">
        <v>835</v>
      </c>
      <c r="C59" s="663"/>
      <c r="D59" s="444">
        <f>-(SUM(R19:R30))</f>
        <v>-4076423.0968729369</v>
      </c>
      <c r="E59" s="444">
        <f>-(SUM(R31:R42))</f>
        <v>-5380878.487872283</v>
      </c>
      <c r="F59" s="444">
        <f>-(SUM(R43:R54))</f>
        <v>-7102759.60399142</v>
      </c>
      <c r="G59" s="444">
        <f>-(SUM(R55:R66))</f>
        <v>-9375642.6772686858</v>
      </c>
      <c r="H59" s="444">
        <f>-(SUM(R67:R78))</f>
        <v>-12375848.333994679</v>
      </c>
      <c r="I59" s="444">
        <v>0</v>
      </c>
      <c r="J59" s="444">
        <v>0</v>
      </c>
      <c r="K59" s="444">
        <v>0</v>
      </c>
      <c r="L59" s="444">
        <v>0</v>
      </c>
      <c r="M59" s="444">
        <v>0</v>
      </c>
      <c r="P59" s="700">
        <v>41</v>
      </c>
      <c r="Q59" s="665">
        <f t="shared" si="36"/>
        <v>1194869.2777200497</v>
      </c>
      <c r="R59" s="701">
        <f t="shared" si="37"/>
        <v>752252.85166888731</v>
      </c>
      <c r="S59" s="664">
        <f t="shared" si="38"/>
        <v>442616.42605116224</v>
      </c>
      <c r="T59" s="702">
        <f t="shared" si="12"/>
        <v>18158380.032590259</v>
      </c>
      <c r="Y59" s="449"/>
      <c r="Z59" s="350"/>
      <c r="AA59" s="350"/>
      <c r="AB59" s="350"/>
      <c r="AC59" s="350"/>
    </row>
    <row r="60" spans="2:29" ht="14.4" x14ac:dyDescent="0.3">
      <c r="B60" s="659" t="s">
        <v>836</v>
      </c>
      <c r="C60" s="660">
        <f>SUM(C45:C59)</f>
        <v>-38019010.986687884</v>
      </c>
      <c r="D60" s="661">
        <f>SUM(D56:D59)</f>
        <v>11616175.908873027</v>
      </c>
      <c r="E60" s="661">
        <f t="shared" ref="E60:L60" si="41">SUM(E56:E59)</f>
        <v>14404178.811109565</v>
      </c>
      <c r="F60" s="661">
        <f t="shared" si="41"/>
        <v>17369840.751518801</v>
      </c>
      <c r="G60" s="661">
        <f t="shared" si="41"/>
        <v>20403831.984844908</v>
      </c>
      <c r="H60" s="661">
        <f t="shared" si="41"/>
        <v>23669917.846114732</v>
      </c>
      <c r="I60" s="661">
        <f t="shared" si="41"/>
        <v>42001564.832895085</v>
      </c>
      <c r="J60" s="661">
        <f t="shared" si="41"/>
        <v>47222545.066925645</v>
      </c>
      <c r="K60" s="661">
        <f t="shared" si="41"/>
        <v>52964852.469557345</v>
      </c>
      <c r="L60" s="661">
        <f t="shared" si="41"/>
        <v>59280604.340554267</v>
      </c>
      <c r="M60" s="661">
        <f>SUM(M56:M59)</f>
        <v>82194693.83048445</v>
      </c>
      <c r="P60" s="700">
        <v>42</v>
      </c>
      <c r="Q60" s="665">
        <f t="shared" si="36"/>
        <v>1194869.2777200497</v>
      </c>
      <c r="R60" s="701">
        <f t="shared" si="37"/>
        <v>769859.84931567824</v>
      </c>
      <c r="S60" s="664">
        <f t="shared" si="38"/>
        <v>425009.42840437137</v>
      </c>
      <c r="T60" s="702">
        <f t="shared" si="12"/>
        <v>17388520.183274582</v>
      </c>
      <c r="Y60" s="449"/>
      <c r="Z60" s="350"/>
      <c r="AA60" s="350"/>
      <c r="AB60" s="350"/>
      <c r="AC60" s="350"/>
    </row>
    <row r="61" spans="2:29" ht="14.4" x14ac:dyDescent="0.3">
      <c r="P61" s="700">
        <v>43</v>
      </c>
      <c r="Q61" s="665">
        <f t="shared" si="36"/>
        <v>1194869.2777200497</v>
      </c>
      <c r="R61" s="701">
        <f t="shared" si="37"/>
        <v>787878.95090524107</v>
      </c>
      <c r="S61" s="664">
        <f t="shared" si="38"/>
        <v>406990.32681480865</v>
      </c>
      <c r="T61" s="702">
        <f t="shared" si="12"/>
        <v>16600641.232369341</v>
      </c>
      <c r="Y61" s="449"/>
      <c r="Z61" s="350"/>
      <c r="AA61" s="350"/>
      <c r="AB61" s="350"/>
      <c r="AC61" s="350"/>
    </row>
    <row r="62" spans="2:29" ht="14.4" x14ac:dyDescent="0.3">
      <c r="B62" s="1060" t="s">
        <v>889</v>
      </c>
      <c r="C62" s="1061"/>
      <c r="P62" s="700">
        <v>44</v>
      </c>
      <c r="Q62" s="665">
        <f t="shared" si="36"/>
        <v>1194869.2777200497</v>
      </c>
      <c r="R62" s="701">
        <f t="shared" si="37"/>
        <v>806319.80201503611</v>
      </c>
      <c r="S62" s="664">
        <f t="shared" si="38"/>
        <v>388549.47570501361</v>
      </c>
      <c r="T62" s="702">
        <f t="shared" si="12"/>
        <v>15794321.430354305</v>
      </c>
      <c r="Y62" s="449"/>
      <c r="Z62" s="350"/>
      <c r="AA62" s="350"/>
      <c r="AB62" s="350"/>
      <c r="AC62" s="350"/>
    </row>
    <row r="63" spans="2:29" ht="15" thickBot="1" x14ac:dyDescent="0.35">
      <c r="B63" s="1062"/>
      <c r="C63" s="1063"/>
      <c r="P63" s="700">
        <v>45</v>
      </c>
      <c r="Q63" s="665">
        <f t="shared" si="36"/>
        <v>1194869.2777200497</v>
      </c>
      <c r="R63" s="701">
        <f t="shared" si="37"/>
        <v>825192.27398392756</v>
      </c>
      <c r="S63" s="664">
        <f t="shared" si="38"/>
        <v>369677.0037361221</v>
      </c>
      <c r="T63" s="702">
        <f t="shared" si="12"/>
        <v>14969129.156370377</v>
      </c>
      <c r="Y63" s="449"/>
      <c r="Z63" s="350"/>
      <c r="AA63" s="350"/>
      <c r="AB63" s="350"/>
      <c r="AC63" s="350"/>
    </row>
    <row r="64" spans="2:29" ht="14.4" x14ac:dyDescent="0.3">
      <c r="B64" s="453" t="s">
        <v>861</v>
      </c>
      <c r="C64" s="452">
        <v>0</v>
      </c>
      <c r="D64" s="452">
        <v>1</v>
      </c>
      <c r="E64" s="452">
        <v>2</v>
      </c>
      <c r="F64" s="452">
        <v>3</v>
      </c>
      <c r="G64" s="452">
        <v>4</v>
      </c>
      <c r="H64" s="452">
        <v>5</v>
      </c>
      <c r="I64" s="452">
        <v>6</v>
      </c>
      <c r="J64" s="452">
        <v>7</v>
      </c>
      <c r="K64" s="452">
        <v>8</v>
      </c>
      <c r="L64" s="452">
        <v>9</v>
      </c>
      <c r="M64" s="656">
        <v>10</v>
      </c>
      <c r="P64" s="700">
        <v>46</v>
      </c>
      <c r="Q64" s="665">
        <f t="shared" si="36"/>
        <v>1194869.2777200497</v>
      </c>
      <c r="R64" s="701">
        <f t="shared" si="37"/>
        <v>844506.46919628442</v>
      </c>
      <c r="S64" s="664">
        <f t="shared" si="38"/>
        <v>350362.80852376518</v>
      </c>
      <c r="T64" s="702">
        <f t="shared" si="12"/>
        <v>14124622.687174093</v>
      </c>
      <c r="Y64" s="449"/>
      <c r="Z64" s="350"/>
      <c r="AA64" s="350"/>
      <c r="AB64" s="350"/>
      <c r="AC64" s="350"/>
    </row>
    <row r="65" spans="2:29" ht="14.4" x14ac:dyDescent="0.3">
      <c r="B65" s="666" t="s">
        <v>862</v>
      </c>
      <c r="C65" s="667">
        <f>C40</f>
        <v>-76330563.186687887</v>
      </c>
      <c r="D65" s="667">
        <f t="shared" ref="D65:M65" si="42">D40</f>
        <v>22362904.358994942</v>
      </c>
      <c r="E65" s="667">
        <f t="shared" si="42"/>
        <v>25607466.64808125</v>
      </c>
      <c r="F65" s="667">
        <f t="shared" si="42"/>
        <v>29175786.979132179</v>
      </c>
      <c r="G65" s="667">
        <f t="shared" si="42"/>
        <v>33005287.288105335</v>
      </c>
      <c r="H65" s="667">
        <f t="shared" si="42"/>
        <v>37321445.129229255</v>
      </c>
      <c r="I65" s="667">
        <f t="shared" si="42"/>
        <v>42001564.832895085</v>
      </c>
      <c r="J65" s="667">
        <f t="shared" si="42"/>
        <v>47222545.066925645</v>
      </c>
      <c r="K65" s="667">
        <f t="shared" si="42"/>
        <v>52964852.469557345</v>
      </c>
      <c r="L65" s="667">
        <f t="shared" si="42"/>
        <v>59280604.340554267</v>
      </c>
      <c r="M65" s="668">
        <f t="shared" si="42"/>
        <v>82194693.83048445</v>
      </c>
      <c r="P65" s="700">
        <v>47</v>
      </c>
      <c r="Q65" s="665">
        <f t="shared" si="36"/>
        <v>1194869.2777200497</v>
      </c>
      <c r="R65" s="701">
        <f t="shared" si="37"/>
        <v>864272.72648976091</v>
      </c>
      <c r="S65" s="664">
        <f t="shared" si="38"/>
        <v>330596.55123028863</v>
      </c>
      <c r="T65" s="702">
        <f t="shared" si="12"/>
        <v>13260349.960684333</v>
      </c>
      <c r="Y65" s="449"/>
      <c r="Z65" s="350"/>
      <c r="AA65" s="350"/>
      <c r="AB65" s="350"/>
      <c r="AC65" s="350"/>
    </row>
    <row r="66" spans="2:29" ht="15" thickBot="1" x14ac:dyDescent="0.35">
      <c r="B66" s="669" t="s">
        <v>863</v>
      </c>
      <c r="C66" s="670">
        <f>C60</f>
        <v>-38019010.986687884</v>
      </c>
      <c r="D66" s="670">
        <f t="shared" ref="D66:M66" si="43">D60</f>
        <v>11616175.908873027</v>
      </c>
      <c r="E66" s="670">
        <f t="shared" si="43"/>
        <v>14404178.811109565</v>
      </c>
      <c r="F66" s="670">
        <f t="shared" si="43"/>
        <v>17369840.751518801</v>
      </c>
      <c r="G66" s="670">
        <f t="shared" si="43"/>
        <v>20403831.984844908</v>
      </c>
      <c r="H66" s="670">
        <f t="shared" si="43"/>
        <v>23669917.846114732</v>
      </c>
      <c r="I66" s="670">
        <f t="shared" si="43"/>
        <v>42001564.832895085</v>
      </c>
      <c r="J66" s="670">
        <f t="shared" si="43"/>
        <v>47222545.066925645</v>
      </c>
      <c r="K66" s="670">
        <f t="shared" si="43"/>
        <v>52964852.469557345</v>
      </c>
      <c r="L66" s="670">
        <f t="shared" si="43"/>
        <v>59280604.340554267</v>
      </c>
      <c r="M66" s="671">
        <f t="shared" si="43"/>
        <v>82194693.83048445</v>
      </c>
      <c r="P66" s="700">
        <v>48</v>
      </c>
      <c r="Q66" s="665">
        <f t="shared" si="36"/>
        <v>1194869.2777200497</v>
      </c>
      <c r="R66" s="701">
        <f t="shared" si="37"/>
        <v>884501.6266896486</v>
      </c>
      <c r="S66" s="664">
        <f t="shared" si="38"/>
        <v>310367.65103040106</v>
      </c>
      <c r="T66" s="702">
        <f t="shared" si="12"/>
        <v>12375848.333994685</v>
      </c>
      <c r="Y66" s="449"/>
      <c r="Z66" s="350"/>
      <c r="AA66" s="350"/>
      <c r="AB66" s="350"/>
      <c r="AC66" s="350"/>
    </row>
    <row r="67" spans="2:29" ht="14.4" x14ac:dyDescent="0.3">
      <c r="B67" s="487"/>
      <c r="C67" s="487"/>
      <c r="D67" s="487"/>
      <c r="E67" s="487"/>
      <c r="F67" s="487"/>
      <c r="G67" s="487"/>
      <c r="H67" s="487"/>
      <c r="I67" s="487"/>
      <c r="J67" s="487"/>
      <c r="K67" s="487"/>
      <c r="L67" s="487"/>
      <c r="M67" s="487"/>
      <c r="P67" s="700">
        <v>49</v>
      </c>
      <c r="Q67" s="665">
        <f t="shared" si="36"/>
        <v>1194869.2777200497</v>
      </c>
      <c r="R67" s="701">
        <f t="shared" si="37"/>
        <v>905203.99827276391</v>
      </c>
      <c r="S67" s="664">
        <f t="shared" si="38"/>
        <v>289665.27944728575</v>
      </c>
      <c r="T67" s="702">
        <f t="shared" si="12"/>
        <v>11470644.335721921</v>
      </c>
      <c r="Y67" s="449"/>
      <c r="Z67" s="350"/>
      <c r="AA67" s="350"/>
      <c r="AB67" s="350"/>
      <c r="AC67" s="350"/>
    </row>
    <row r="68" spans="2:29" ht="15" thickBot="1" x14ac:dyDescent="0.35">
      <c r="B68" s="487"/>
      <c r="C68" s="487"/>
      <c r="D68" s="487"/>
      <c r="E68" s="487"/>
      <c r="F68" s="487"/>
      <c r="G68" s="487"/>
      <c r="H68" s="487"/>
      <c r="I68" s="487"/>
      <c r="J68" s="487"/>
      <c r="K68" s="487"/>
      <c r="L68" s="487"/>
      <c r="M68" s="487"/>
      <c r="P68" s="700">
        <v>50</v>
      </c>
      <c r="Q68" s="665">
        <f t="shared" si="36"/>
        <v>1194869.2777200497</v>
      </c>
      <c r="R68" s="701">
        <f t="shared" si="37"/>
        <v>926390.92316390341</v>
      </c>
      <c r="S68" s="664">
        <f t="shared" si="38"/>
        <v>268478.35455614619</v>
      </c>
      <c r="T68" s="702">
        <f t="shared" si="12"/>
        <v>10544253.412558017</v>
      </c>
      <c r="Y68" s="449"/>
      <c r="Z68" s="350"/>
      <c r="AA68" s="350"/>
      <c r="AB68" s="350"/>
      <c r="AC68" s="350"/>
    </row>
    <row r="69" spans="2:29" ht="15" thickBot="1" x14ac:dyDescent="0.35">
      <c r="B69" s="672" t="s">
        <v>890</v>
      </c>
      <c r="C69" s="673" t="s">
        <v>864</v>
      </c>
      <c r="D69" s="673" t="s">
        <v>865</v>
      </c>
      <c r="E69" s="674" t="s">
        <v>866</v>
      </c>
      <c r="F69" s="487"/>
      <c r="G69" s="675" t="s">
        <v>867</v>
      </c>
      <c r="H69" s="487"/>
      <c r="I69" s="1077" t="s">
        <v>872</v>
      </c>
      <c r="J69" s="1078"/>
      <c r="K69" s="454" t="s">
        <v>873</v>
      </c>
      <c r="L69" s="487"/>
      <c r="M69" s="487"/>
      <c r="P69" s="700">
        <v>51</v>
      </c>
      <c r="Q69" s="665">
        <f t="shared" si="36"/>
        <v>1194869.2777200497</v>
      </c>
      <c r="R69" s="701">
        <f t="shared" si="37"/>
        <v>948073.74266796932</v>
      </c>
      <c r="S69" s="664">
        <f t="shared" si="38"/>
        <v>246795.53505208026</v>
      </c>
      <c r="T69" s="702">
        <f t="shared" si="12"/>
        <v>9596179.669890048</v>
      </c>
      <c r="Y69" s="449"/>
      <c r="Z69" s="350"/>
      <c r="AA69" s="350"/>
      <c r="AB69" s="350"/>
      <c r="AC69" s="350"/>
    </row>
    <row r="70" spans="2:29" ht="15" thickBot="1" x14ac:dyDescent="0.35">
      <c r="B70" s="676" t="s">
        <v>862</v>
      </c>
      <c r="C70" s="677">
        <f>NPV(G70,D65:M65)+C65</f>
        <v>45216866.176144987</v>
      </c>
      <c r="D70" s="678">
        <f>IRR(C65:M65)</f>
        <v>0.39164434681122984</v>
      </c>
      <c r="E70" s="679">
        <v>3</v>
      </c>
      <c r="F70" s="487"/>
      <c r="G70" s="680">
        <v>0.25</v>
      </c>
      <c r="H70" s="487"/>
      <c r="I70" s="1079" t="s">
        <v>874</v>
      </c>
      <c r="J70" s="1080"/>
      <c r="K70" s="681">
        <f>C71/C70</f>
        <v>1.1518135329550463</v>
      </c>
      <c r="L70" s="487"/>
      <c r="M70" s="487"/>
      <c r="P70" s="700">
        <v>52</v>
      </c>
      <c r="Q70" s="665">
        <f t="shared" si="36"/>
        <v>1194869.2777200497</v>
      </c>
      <c r="R70" s="701">
        <f t="shared" si="37"/>
        <v>970264.06354093936</v>
      </c>
      <c r="S70" s="664">
        <f t="shared" si="38"/>
        <v>224605.21417911036</v>
      </c>
      <c r="T70" s="702">
        <f t="shared" si="12"/>
        <v>8625915.6063491087</v>
      </c>
      <c r="Y70" s="449"/>
      <c r="Z70" s="350"/>
      <c r="AA70" s="350"/>
      <c r="AB70" s="350"/>
      <c r="AC70" s="350"/>
    </row>
    <row r="71" spans="2:29" ht="15" thickBot="1" x14ac:dyDescent="0.35">
      <c r="B71" s="682" t="s">
        <v>863</v>
      </c>
      <c r="C71" s="683">
        <f>NPV(G70,D66:M66)+C66</f>
        <v>52081398.379501089</v>
      </c>
      <c r="D71" s="684">
        <f>IRR(C66:M66)</f>
        <v>0.49908737507492051</v>
      </c>
      <c r="E71" s="685">
        <v>3</v>
      </c>
      <c r="F71" s="487"/>
      <c r="G71" s="487"/>
      <c r="H71" s="487"/>
      <c r="I71" s="1075" t="s">
        <v>875</v>
      </c>
      <c r="J71" s="1076"/>
      <c r="K71" s="686">
        <f>D71-D70</f>
        <v>0.10744302826369068</v>
      </c>
      <c r="L71" s="487"/>
      <c r="M71" s="487"/>
      <c r="P71" s="700">
        <v>53</v>
      </c>
      <c r="Q71" s="665">
        <f t="shared" si="36"/>
        <v>1194869.2777200497</v>
      </c>
      <c r="R71" s="701">
        <f t="shared" si="37"/>
        <v>992973.76420293236</v>
      </c>
      <c r="S71" s="664">
        <f t="shared" si="38"/>
        <v>201895.51351711727</v>
      </c>
      <c r="T71" s="702">
        <f t="shared" si="12"/>
        <v>7632941.8421461768</v>
      </c>
      <c r="Y71" s="449"/>
      <c r="Z71" s="350"/>
      <c r="AA71" s="350"/>
      <c r="AB71" s="350"/>
      <c r="AC71" s="350"/>
    </row>
    <row r="72" spans="2:29" ht="14.4" x14ac:dyDescent="0.3">
      <c r="B72" s="487"/>
      <c r="C72" s="487"/>
      <c r="D72" s="487"/>
      <c r="E72" s="487"/>
      <c r="F72" s="487"/>
      <c r="G72" s="487"/>
      <c r="H72" s="487"/>
      <c r="I72" s="487"/>
      <c r="J72" s="487"/>
      <c r="K72" s="487"/>
      <c r="L72" s="487"/>
      <c r="M72" s="487"/>
      <c r="P72" s="700">
        <v>54</v>
      </c>
      <c r="Q72" s="665">
        <f t="shared" si="36"/>
        <v>1194869.2777200497</v>
      </c>
      <c r="R72" s="701">
        <f t="shared" si="37"/>
        <v>1016215.0010966965</v>
      </c>
      <c r="S72" s="664">
        <f t="shared" si="38"/>
        <v>178654.27662335325</v>
      </c>
      <c r="T72" s="702">
        <f t="shared" si="12"/>
        <v>6616726.8410494803</v>
      </c>
      <c r="Y72" s="449"/>
      <c r="Z72" s="350"/>
      <c r="AA72" s="350"/>
      <c r="AB72" s="350"/>
      <c r="AC72" s="350"/>
    </row>
    <row r="73" spans="2:29" ht="14.4" x14ac:dyDescent="0.3">
      <c r="P73" s="700">
        <v>55</v>
      </c>
      <c r="Q73" s="665">
        <f t="shared" si="36"/>
        <v>1194869.2777200497</v>
      </c>
      <c r="R73" s="701">
        <f t="shared" si="37"/>
        <v>1040000.2151949194</v>
      </c>
      <c r="S73" s="664">
        <f t="shared" si="38"/>
        <v>154869.06252513031</v>
      </c>
      <c r="T73" s="702">
        <f t="shared" si="12"/>
        <v>5576726.6258545611</v>
      </c>
      <c r="Y73" s="449"/>
      <c r="Z73" s="350"/>
      <c r="AA73" s="350"/>
      <c r="AB73" s="350"/>
      <c r="AC73" s="350"/>
    </row>
    <row r="74" spans="2:29" ht="15" thickBot="1" x14ac:dyDescent="0.35">
      <c r="P74" s="700">
        <v>56</v>
      </c>
      <c r="Q74" s="665">
        <f t="shared" si="36"/>
        <v>1194869.2777200497</v>
      </c>
      <c r="R74" s="701">
        <f t="shared" si="37"/>
        <v>1064342.1386598488</v>
      </c>
      <c r="S74" s="664">
        <f t="shared" si="38"/>
        <v>130527.13906020083</v>
      </c>
      <c r="T74" s="702">
        <f t="shared" si="12"/>
        <v>4512384.4871947123</v>
      </c>
      <c r="Y74" s="449"/>
      <c r="Z74" s="350"/>
      <c r="AA74" s="350"/>
      <c r="AB74" s="350"/>
      <c r="AC74" s="350"/>
    </row>
    <row r="75" spans="2:29" ht="14.4" x14ac:dyDescent="0.3">
      <c r="B75" s="978" t="s">
        <v>868</v>
      </c>
      <c r="C75" s="979"/>
      <c r="D75" s="980"/>
      <c r="P75" s="700">
        <v>57</v>
      </c>
      <c r="Q75" s="665">
        <f t="shared" si="36"/>
        <v>1194869.2777200497</v>
      </c>
      <c r="R75" s="701">
        <f t="shared" si="37"/>
        <v>1089253.8016587854</v>
      </c>
      <c r="S75" s="664">
        <f t="shared" si="38"/>
        <v>105615.47606126418</v>
      </c>
      <c r="T75" s="702">
        <f t="shared" si="12"/>
        <v>3423130.6855359268</v>
      </c>
      <c r="Y75" s="449"/>
      <c r="Z75" s="350"/>
      <c r="AA75" s="350"/>
      <c r="AB75" s="350"/>
      <c r="AC75" s="350"/>
    </row>
    <row r="76" spans="2:29" ht="15" thickBot="1" x14ac:dyDescent="0.35">
      <c r="B76" s="733" t="s">
        <v>869</v>
      </c>
      <c r="C76" s="734" t="s">
        <v>870</v>
      </c>
      <c r="D76" s="735" t="s">
        <v>871</v>
      </c>
      <c r="P76" s="700">
        <v>58</v>
      </c>
      <c r="Q76" s="665">
        <f t="shared" si="36"/>
        <v>1194869.2777200497</v>
      </c>
      <c r="R76" s="701">
        <f t="shared" si="37"/>
        <v>1114748.5393390968</v>
      </c>
      <c r="S76" s="664">
        <f t="shared" si="38"/>
        <v>80120.738380953015</v>
      </c>
      <c r="T76" s="702">
        <f t="shared" si="12"/>
        <v>2308382.1461968301</v>
      </c>
      <c r="Y76" s="449"/>
      <c r="Z76" s="350"/>
      <c r="AA76" s="350"/>
      <c r="AB76" s="350"/>
      <c r="AC76" s="350"/>
    </row>
    <row r="77" spans="2:29" ht="14.4" x14ac:dyDescent="0.3">
      <c r="B77" s="736">
        <v>0.01</v>
      </c>
      <c r="C77" s="737">
        <f>NPV(B77,$D$65:$M$65)+$C$65</f>
        <v>327596311.32569504</v>
      </c>
      <c r="D77" s="738">
        <f>NPV(B77,$D$66:$M$66)+$C$66</f>
        <v>307727553.77349454</v>
      </c>
      <c r="P77" s="700">
        <v>59</v>
      </c>
      <c r="Q77" s="665">
        <f t="shared" si="36"/>
        <v>1194869.2777200497</v>
      </c>
      <c r="R77" s="701">
        <f t="shared" si="37"/>
        <v>1140839.9989664857</v>
      </c>
      <c r="S77" s="664">
        <f t="shared" si="38"/>
        <v>54029.278753563907</v>
      </c>
      <c r="T77" s="702">
        <f t="shared" si="12"/>
        <v>1167542.1472303444</v>
      </c>
      <c r="Y77" s="449"/>
      <c r="Z77" s="350"/>
      <c r="AA77" s="350"/>
      <c r="AB77" s="350"/>
      <c r="AC77" s="350"/>
    </row>
    <row r="78" spans="2:29" ht="14.4" x14ac:dyDescent="0.3">
      <c r="B78" s="688">
        <v>0.02</v>
      </c>
      <c r="C78" s="687">
        <f t="shared" ref="C78:C126" si="44">NPV(B78,$D$65:$M$65)+$C$65</f>
        <v>302637794.10507721</v>
      </c>
      <c r="D78" s="689">
        <f t="shared" ref="D78:D126" si="45">NPV(B78,$D$66:$M$66)+$C$66</f>
        <v>284513674.9890368</v>
      </c>
      <c r="P78" s="700">
        <v>60</v>
      </c>
      <c r="Q78" s="665">
        <f t="shared" si="36"/>
        <v>1194869.2777200497</v>
      </c>
      <c r="R78" s="701">
        <f t="shared" si="37"/>
        <v>1167542.1472303376</v>
      </c>
      <c r="S78" s="664">
        <f t="shared" si="38"/>
        <v>27327.130489712184</v>
      </c>
      <c r="T78" s="706">
        <f t="shared" si="12"/>
        <v>6.7520886659622192E-9</v>
      </c>
      <c r="Y78" s="449"/>
      <c r="Z78" s="350"/>
      <c r="AA78" s="350"/>
      <c r="AB78" s="350"/>
      <c r="AC78" s="350"/>
    </row>
    <row r="79" spans="2:29" ht="14.4" x14ac:dyDescent="0.3">
      <c r="B79" s="688">
        <v>0.03</v>
      </c>
      <c r="C79" s="687">
        <f t="shared" si="44"/>
        <v>279714104.60200804</v>
      </c>
      <c r="D79" s="689">
        <f t="shared" si="45"/>
        <v>263255496.17868233</v>
      </c>
    </row>
    <row r="80" spans="2:29" ht="14.4" x14ac:dyDescent="0.3">
      <c r="B80" s="688">
        <v>0.04</v>
      </c>
      <c r="C80" s="687">
        <f t="shared" si="44"/>
        <v>258631660.7433455</v>
      </c>
      <c r="D80" s="689">
        <f t="shared" si="45"/>
        <v>243763970.49097496</v>
      </c>
    </row>
    <row r="81" spans="2:4" ht="14.4" x14ac:dyDescent="0.3">
      <c r="B81" s="688">
        <v>0.05</v>
      </c>
      <c r="C81" s="687">
        <f t="shared" si="44"/>
        <v>239217480.69163442</v>
      </c>
      <c r="D81" s="689">
        <f t="shared" si="45"/>
        <v>225870343.55134082</v>
      </c>
    </row>
    <row r="82" spans="2:4" ht="14.4" x14ac:dyDescent="0.3">
      <c r="B82" s="688">
        <v>0.06</v>
      </c>
      <c r="C82" s="687">
        <f t="shared" si="44"/>
        <v>221316783.1085149</v>
      </c>
      <c r="D82" s="689">
        <f t="shared" si="45"/>
        <v>209423777.61615485</v>
      </c>
    </row>
    <row r="83" spans="2:4" ht="14.4" x14ac:dyDescent="0.3">
      <c r="B83" s="688">
        <v>7.0000000000000007E-2</v>
      </c>
      <c r="C83" s="687">
        <f t="shared" si="44"/>
        <v>204790889.35300338</v>
      </c>
      <c r="D83" s="689">
        <f t="shared" si="45"/>
        <v>194289275.58580655</v>
      </c>
    </row>
    <row r="84" spans="2:4" ht="14.4" x14ac:dyDescent="0.3">
      <c r="B84" s="688">
        <v>0.08</v>
      </c>
      <c r="C84" s="687">
        <f t="shared" si="44"/>
        <v>189515386.96417513</v>
      </c>
      <c r="D84" s="689">
        <f t="shared" si="45"/>
        <v>180345864.42512876</v>
      </c>
    </row>
    <row r="85" spans="2:4" ht="14.4" x14ac:dyDescent="0.3">
      <c r="B85" s="688">
        <v>0.09</v>
      </c>
      <c r="C85" s="687">
        <f t="shared" si="44"/>
        <v>175378519.59319523</v>
      </c>
      <c r="D85" s="689">
        <f t="shared" si="45"/>
        <v>167485003.33421761</v>
      </c>
    </row>
    <row r="86" spans="2:4" ht="14.4" x14ac:dyDescent="0.3">
      <c r="B86" s="688">
        <v>0.1</v>
      </c>
      <c r="C86" s="687">
        <f t="shared" si="44"/>
        <v>162279773.48590851</v>
      </c>
      <c r="D86" s="689">
        <f t="shared" si="45"/>
        <v>155609186.93051678</v>
      </c>
    </row>
    <row r="87" spans="2:4" ht="14.4" x14ac:dyDescent="0.3">
      <c r="B87" s="688">
        <v>0.11</v>
      </c>
      <c r="C87" s="687">
        <f t="shared" si="44"/>
        <v>150128634.81413189</v>
      </c>
      <c r="D87" s="689">
        <f t="shared" si="45"/>
        <v>144630717.88361651</v>
      </c>
    </row>
    <row r="88" spans="2:4" ht="14.4" x14ac:dyDescent="0.3">
      <c r="B88" s="688">
        <v>0.12</v>
      </c>
      <c r="C88" s="687">
        <f t="shared" si="44"/>
        <v>138843495.72789621</v>
      </c>
      <c r="D88" s="689">
        <f t="shared" si="45"/>
        <v>134470627.00377387</v>
      </c>
    </row>
    <row r="89" spans="2:4" ht="14.4" x14ac:dyDescent="0.3">
      <c r="B89" s="688">
        <v>0.13</v>
      </c>
      <c r="C89" s="687">
        <f t="shared" si="44"/>
        <v>128350690.04944372</v>
      </c>
      <c r="D89" s="689">
        <f t="shared" si="45"/>
        <v>125057721.82076605</v>
      </c>
    </row>
    <row r="90" spans="2:4" ht="14.4" x14ac:dyDescent="0.3">
      <c r="B90" s="688">
        <v>0.14000000000000001</v>
      </c>
      <c r="C90" s="687">
        <f t="shared" si="44"/>
        <v>118583642.13411805</v>
      </c>
      <c r="D90" s="689">
        <f t="shared" si="45"/>
        <v>116327747.2824765</v>
      </c>
    </row>
    <row r="91" spans="2:4" ht="14.4" x14ac:dyDescent="0.3">
      <c r="B91" s="688">
        <v>0.15</v>
      </c>
      <c r="C91" s="687">
        <f t="shared" si="44"/>
        <v>109482114.6515604</v>
      </c>
      <c r="D91" s="689">
        <f t="shared" si="45"/>
        <v>108222644.42059149</v>
      </c>
    </row>
    <row r="92" spans="2:4" ht="14.4" x14ac:dyDescent="0.3">
      <c r="B92" s="688">
        <v>0.16</v>
      </c>
      <c r="C92" s="687">
        <f t="shared" si="44"/>
        <v>100991542.94998288</v>
      </c>
      <c r="D92" s="689">
        <f t="shared" si="45"/>
        <v>100689894.73094</v>
      </c>
    </row>
    <row r="93" spans="2:4" ht="14.4" x14ac:dyDescent="0.3">
      <c r="B93" s="688">
        <v>0.17</v>
      </c>
      <c r="C93" s="687">
        <f t="shared" si="44"/>
        <v>93062445.304857105</v>
      </c>
      <c r="D93" s="689">
        <f t="shared" si="45"/>
        <v>93681939.646351427</v>
      </c>
    </row>
    <row r="94" spans="2:4" ht="14.4" x14ac:dyDescent="0.3">
      <c r="B94" s="688">
        <v>0.18</v>
      </c>
      <c r="C94" s="687">
        <f t="shared" si="44"/>
        <v>85649899.76150912</v>
      </c>
      <c r="D94" s="689">
        <f t="shared" si="45"/>
        <v>87155665.880696043</v>
      </c>
    </row>
    <row r="95" spans="2:4" ht="14.4" x14ac:dyDescent="0.3">
      <c r="B95" s="688">
        <v>0.19</v>
      </c>
      <c r="C95" s="687">
        <f t="shared" si="44"/>
        <v>78713079.493059963</v>
      </c>
      <c r="D95" s="689">
        <f t="shared" si="45"/>
        <v>81071948.628124624</v>
      </c>
    </row>
    <row r="96" spans="2:4" ht="14.4" x14ac:dyDescent="0.3">
      <c r="B96" s="688">
        <v>0.2</v>
      </c>
      <c r="C96" s="687">
        <f t="shared" si="44"/>
        <v>72214839.639642268</v>
      </c>
      <c r="D96" s="689">
        <f t="shared" si="45"/>
        <v>75395245.640097946</v>
      </c>
    </row>
    <row r="97" spans="2:4" ht="14.4" x14ac:dyDescent="0.3">
      <c r="B97" s="688">
        <v>0.21</v>
      </c>
      <c r="C97" s="687">
        <f t="shared" si="44"/>
        <v>66121349.496279418</v>
      </c>
      <c r="D97" s="689">
        <f t="shared" si="45"/>
        <v>70093236.098941043</v>
      </c>
    </row>
    <row r="98" spans="2:4" ht="14.4" x14ac:dyDescent="0.3">
      <c r="B98" s="688">
        <v>0.22</v>
      </c>
      <c r="C98" s="687">
        <f t="shared" si="44"/>
        <v>60401764.695857704</v>
      </c>
      <c r="D98" s="689">
        <f t="shared" si="45"/>
        <v>65136498.980931237</v>
      </c>
    </row>
    <row r="99" spans="2:4" ht="14.4" x14ac:dyDescent="0.3">
      <c r="B99" s="688">
        <v>0.23</v>
      </c>
      <c r="C99" s="687">
        <f t="shared" si="44"/>
        <v>55027934.707797512</v>
      </c>
      <c r="D99" s="689">
        <f t="shared" si="45"/>
        <v>60498226.271808222</v>
      </c>
    </row>
    <row r="100" spans="2:4" ht="14.4" x14ac:dyDescent="0.3">
      <c r="B100" s="688">
        <v>0.24</v>
      </c>
      <c r="C100" s="687">
        <f t="shared" si="44"/>
        <v>49974141.557204932</v>
      </c>
      <c r="D100" s="689">
        <f t="shared" si="45"/>
        <v>56153966.97790812</v>
      </c>
    </row>
    <row r="101" spans="2:4" ht="14.4" x14ac:dyDescent="0.3">
      <c r="B101" s="688">
        <v>0.25</v>
      </c>
      <c r="C101" s="687">
        <f t="shared" si="44"/>
        <v>45216866.176144987</v>
      </c>
      <c r="D101" s="689">
        <f t="shared" si="45"/>
        <v>52081398.379501089</v>
      </c>
    </row>
    <row r="102" spans="2:4" ht="14.4" x14ac:dyDescent="0.3">
      <c r="B102" s="688">
        <v>0.26</v>
      </c>
      <c r="C102" s="687">
        <f t="shared" si="44"/>
        <v>40734579.239008874</v>
      </c>
      <c r="D102" s="689">
        <f t="shared" si="45"/>
        <v>48260121.410100698</v>
      </c>
    </row>
    <row r="103" spans="2:4" ht="14.4" x14ac:dyDescent="0.3">
      <c r="B103" s="688">
        <v>0.27</v>
      </c>
      <c r="C103" s="687">
        <f t="shared" si="44"/>
        <v>36507553.716964558</v>
      </c>
      <c r="D103" s="689">
        <f t="shared" si="45"/>
        <v>44671477.425697789</v>
      </c>
    </row>
    <row r="104" spans="2:4" ht="14.4" x14ac:dyDescent="0.3">
      <c r="B104" s="688">
        <v>0.28000000000000003</v>
      </c>
      <c r="C104" s="687">
        <f t="shared" si="44"/>
        <v>32517696.720055506</v>
      </c>
      <c r="D104" s="689">
        <f t="shared" si="45"/>
        <v>41298383.958884642</v>
      </c>
    </row>
    <row r="105" spans="2:4" ht="14.4" x14ac:dyDescent="0.3">
      <c r="B105" s="688">
        <v>0.28999999999999998</v>
      </c>
      <c r="C105" s="687">
        <f t="shared" si="44"/>
        <v>28748398.486382514</v>
      </c>
      <c r="D105" s="689">
        <f t="shared" si="45"/>
        <v>38125187.341389701</v>
      </c>
    </row>
    <row r="106" spans="2:4" ht="14.4" x14ac:dyDescent="0.3">
      <c r="B106" s="688">
        <v>0.3</v>
      </c>
      <c r="C106" s="687">
        <f t="shared" si="44"/>
        <v>25184396.631737754</v>
      </c>
      <c r="D106" s="689">
        <f t="shared" si="45"/>
        <v>35137530.330381766</v>
      </c>
    </row>
    <row r="107" spans="2:4" ht="14.4" x14ac:dyDescent="0.3">
      <c r="B107" s="688">
        <v>0.31</v>
      </c>
      <c r="C107" s="687">
        <f t="shared" si="44"/>
        <v>21811653.99501352</v>
      </c>
      <c r="D107" s="689">
        <f t="shared" si="45"/>
        <v>32322233.093957499</v>
      </c>
    </row>
    <row r="108" spans="2:4" ht="14.4" x14ac:dyDescent="0.3">
      <c r="B108" s="688">
        <v>0.32</v>
      </c>
      <c r="C108" s="687">
        <f t="shared" si="44"/>
        <v>18617248.608931154</v>
      </c>
      <c r="D108" s="689">
        <f t="shared" si="45"/>
        <v>29667186.10372816</v>
      </c>
    </row>
    <row r="109" spans="2:4" ht="14.4" x14ac:dyDescent="0.3">
      <c r="B109" s="688">
        <v>0.33</v>
      </c>
      <c r="C109" s="687">
        <f t="shared" si="44"/>
        <v>15589274.495789528</v>
      </c>
      <c r="D109" s="689">
        <f t="shared" si="45"/>
        <v>27161253.651015207</v>
      </c>
    </row>
    <row r="110" spans="2:4" ht="14.4" x14ac:dyDescent="0.3">
      <c r="B110" s="688">
        <v>0.34</v>
      </c>
      <c r="C110" s="687">
        <f t="shared" si="44"/>
        <v>12716752.137167111</v>
      </c>
      <c r="D110" s="689">
        <f t="shared" si="45"/>
        <v>24794186.850980416</v>
      </c>
    </row>
    <row r="111" spans="2:4" ht="14.4" x14ac:dyDescent="0.3">
      <c r="B111" s="688">
        <v>0.35</v>
      </c>
      <c r="C111" s="687">
        <f t="shared" si="44"/>
        <v>9989547.5975453705</v>
      </c>
      <c r="D111" s="689">
        <f t="shared" si="45"/>
        <v>22556545.128763743</v>
      </c>
    </row>
    <row r="112" spans="2:4" ht="14.4" x14ac:dyDescent="0.3">
      <c r="B112" s="688">
        <v>0.36</v>
      </c>
      <c r="C112" s="687">
        <f t="shared" si="44"/>
        <v>7398299.3969995975</v>
      </c>
      <c r="D112" s="689">
        <f t="shared" si="45"/>
        <v>20439625.295708299</v>
      </c>
    </row>
    <row r="113" spans="2:4" ht="14.4" x14ac:dyDescent="0.3">
      <c r="B113" s="688">
        <v>0.37</v>
      </c>
      <c r="C113" s="687">
        <f t="shared" si="44"/>
        <v>4934352.3294536769</v>
      </c>
      <c r="D113" s="689">
        <f t="shared" si="45"/>
        <v>18435397.424036965</v>
      </c>
    </row>
    <row r="114" spans="2:4" ht="14.4" x14ac:dyDescent="0.3">
      <c r="B114" s="688">
        <v>0.38</v>
      </c>
      <c r="C114" s="687">
        <f t="shared" si="44"/>
        <v>2589697.5122747421</v>
      </c>
      <c r="D114" s="689">
        <f t="shared" si="45"/>
        <v>16536446.816655226</v>
      </c>
    </row>
    <row r="115" spans="2:4" ht="14.4" x14ac:dyDescent="0.3">
      <c r="B115" s="688">
        <v>0.39</v>
      </c>
      <c r="C115" s="687">
        <f t="shared" si="44"/>
        <v>356918.03170770407</v>
      </c>
      <c r="D115" s="689">
        <f t="shared" si="45"/>
        <v>14735921.446592838</v>
      </c>
    </row>
    <row r="116" spans="2:4" ht="14.4" x14ac:dyDescent="0.3">
      <c r="B116" s="688">
        <v>0.4</v>
      </c>
      <c r="C116" s="687">
        <f t="shared" si="44"/>
        <v>-1770860.3818523735</v>
      </c>
      <c r="D116" s="689">
        <f t="shared" si="45"/>
        <v>13027484.309289709</v>
      </c>
    </row>
    <row r="117" spans="2:4" ht="14.4" x14ac:dyDescent="0.3">
      <c r="B117" s="688">
        <v>0.41</v>
      </c>
      <c r="C117" s="687">
        <f t="shared" si="44"/>
        <v>-3800014.1533514708</v>
      </c>
      <c r="D117" s="689">
        <f t="shared" si="45"/>
        <v>11405270.191595756</v>
      </c>
    </row>
    <row r="118" spans="2:4" ht="14.4" x14ac:dyDescent="0.3">
      <c r="B118" s="688">
        <v>0.42</v>
      </c>
      <c r="C118" s="687">
        <f t="shared" si="44"/>
        <v>-5736462.587612316</v>
      </c>
      <c r="D118" s="689">
        <f t="shared" si="45"/>
        <v>9863846.4150021523</v>
      </c>
    </row>
    <row r="119" spans="2:4" ht="14.4" x14ac:dyDescent="0.3">
      <c r="B119" s="688">
        <v>0.43</v>
      </c>
      <c r="C119" s="687">
        <f t="shared" si="44"/>
        <v>-7585704.9211110175</v>
      </c>
      <c r="D119" s="689">
        <f t="shared" si="45"/>
        <v>8398177.1580924913</v>
      </c>
    </row>
    <row r="120" spans="2:4" ht="14.4" x14ac:dyDescent="0.3">
      <c r="B120" s="688">
        <v>0.44</v>
      </c>
      <c r="C120" s="687">
        <f t="shared" si="44"/>
        <v>-9352854.0605677515</v>
      </c>
      <c r="D120" s="689">
        <f t="shared" si="45"/>
        <v>7003591.0052630678</v>
      </c>
    </row>
    <row r="121" spans="2:4" ht="14.4" x14ac:dyDescent="0.3">
      <c r="B121" s="688">
        <v>0.45</v>
      </c>
      <c r="C121" s="687">
        <f t="shared" si="44"/>
        <v>-11042667.330117814</v>
      </c>
      <c r="D121" s="689">
        <f t="shared" si="45"/>
        <v>5675751.4060546756</v>
      </c>
    </row>
    <row r="122" spans="2:4" ht="14.4" x14ac:dyDescent="0.3">
      <c r="B122" s="688">
        <v>0.46</v>
      </c>
      <c r="C122" s="687">
        <f t="shared" si="44"/>
        <v>-12659574.515256248</v>
      </c>
      <c r="D122" s="689">
        <f t="shared" si="45"/>
        <v>4410629.7625406757</v>
      </c>
    </row>
    <row r="123" spans="2:4" ht="14.4" x14ac:dyDescent="0.3">
      <c r="B123" s="688">
        <v>0.47</v>
      </c>
      <c r="C123" s="687">
        <f t="shared" si="44"/>
        <v>-14207703.461910084</v>
      </c>
      <c r="D123" s="689">
        <f t="shared" si="45"/>
        <v>3204480.8916231766</v>
      </c>
    </row>
    <row r="124" spans="2:4" ht="14.4" x14ac:dyDescent="0.3">
      <c r="B124" s="688">
        <v>0.48</v>
      </c>
      <c r="C124" s="687">
        <f t="shared" si="44"/>
        <v>-15690903.46244739</v>
      </c>
      <c r="D124" s="689">
        <f t="shared" si="45"/>
        <v>2053820.6352394447</v>
      </c>
    </row>
    <row r="125" spans="2:4" ht="14.4" x14ac:dyDescent="0.3">
      <c r="B125" s="688">
        <v>0.49</v>
      </c>
      <c r="C125" s="687">
        <f t="shared" si="44"/>
        <v>-17112766.636794701</v>
      </c>
      <c r="D125" s="689">
        <f t="shared" si="45"/>
        <v>955405.41475436091</v>
      </c>
    </row>
    <row r="126" spans="2:4" ht="15" thickBot="1" x14ac:dyDescent="0.35">
      <c r="B126" s="690">
        <v>0.5</v>
      </c>
      <c r="C126" s="691">
        <f t="shared" si="44"/>
        <v>-18476647.495768912</v>
      </c>
      <c r="D126" s="692">
        <f t="shared" si="45"/>
        <v>-93786.453452132642</v>
      </c>
    </row>
  </sheetData>
  <mergeCells count="14">
    <mergeCell ref="B62:C63"/>
    <mergeCell ref="B75:D75"/>
    <mergeCell ref="B42:C43"/>
    <mergeCell ref="P3:AB3"/>
    <mergeCell ref="H2:I2"/>
    <mergeCell ref="H3:I4"/>
    <mergeCell ref="J3:J4"/>
    <mergeCell ref="B11:C12"/>
    <mergeCell ref="B22:C23"/>
    <mergeCell ref="I71:J71"/>
    <mergeCell ref="I69:J69"/>
    <mergeCell ref="I70:J70"/>
    <mergeCell ref="P17:T17"/>
    <mergeCell ref="Y17:AC1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18"/>
  <sheetViews>
    <sheetView showGridLines="0" topLeftCell="J45" workbookViewId="0">
      <selection activeCell="L68" sqref="L68"/>
    </sheetView>
  </sheetViews>
  <sheetFormatPr baseColWidth="10" defaultColWidth="12.59765625" defaultRowHeight="15" customHeight="1" x14ac:dyDescent="0.25"/>
  <cols>
    <col min="1" max="1" width="50.69921875" customWidth="1"/>
    <col min="2" max="2" width="7.69921875" customWidth="1"/>
    <col min="3" max="3" width="7" customWidth="1"/>
    <col min="4" max="5" width="8" customWidth="1"/>
    <col min="6" max="6" width="50.5" bestFit="1" customWidth="1"/>
    <col min="7" max="7" width="7.69921875" customWidth="1"/>
    <col min="8" max="8" width="7" customWidth="1"/>
    <col min="9" max="10" width="8" customWidth="1"/>
    <col min="11" max="11" width="50.5" bestFit="1" customWidth="1"/>
    <col min="12" max="12" width="7.69921875" customWidth="1"/>
    <col min="13" max="13" width="7" customWidth="1"/>
    <col min="14" max="15" width="8" customWidth="1"/>
    <col min="16" max="16" width="50.5" bestFit="1" customWidth="1"/>
    <col min="17" max="17" width="7.69921875" customWidth="1"/>
    <col min="18" max="18" width="7" customWidth="1"/>
    <col min="19" max="20" width="8" customWidth="1"/>
    <col min="21" max="21" width="50.5" bestFit="1" customWidth="1"/>
    <col min="22" max="22" width="7.69921875" customWidth="1"/>
    <col min="23" max="23" width="7" customWidth="1"/>
  </cols>
  <sheetData>
    <row r="1" spans="1:23" ht="14.25" customHeight="1" x14ac:dyDescent="0.3">
      <c r="A1" s="742" t="s">
        <v>2</v>
      </c>
      <c r="B1" s="743"/>
      <c r="C1" s="744"/>
      <c r="F1" s="742" t="s">
        <v>8</v>
      </c>
      <c r="G1" s="743"/>
      <c r="H1" s="744"/>
      <c r="K1" s="742" t="s">
        <v>9</v>
      </c>
      <c r="L1" s="743"/>
      <c r="M1" s="744"/>
      <c r="P1" s="742" t="s">
        <v>10</v>
      </c>
      <c r="Q1" s="743"/>
      <c r="R1" s="744"/>
      <c r="U1" s="742" t="s">
        <v>12</v>
      </c>
      <c r="V1" s="743"/>
      <c r="W1" s="744"/>
    </row>
    <row r="2" spans="1:23" ht="14.25" customHeight="1" x14ac:dyDescent="0.3">
      <c r="A2" s="1" t="s">
        <v>14</v>
      </c>
      <c r="B2" s="1" t="s">
        <v>20</v>
      </c>
      <c r="C2" s="1" t="s">
        <v>21</v>
      </c>
      <c r="F2" s="1" t="s">
        <v>14</v>
      </c>
      <c r="G2" s="1" t="s">
        <v>20</v>
      </c>
      <c r="H2" s="1" t="s">
        <v>21</v>
      </c>
      <c r="K2" s="1" t="s">
        <v>14</v>
      </c>
      <c r="L2" s="1" t="s">
        <v>20</v>
      </c>
      <c r="M2" s="1" t="s">
        <v>21</v>
      </c>
      <c r="P2" s="1" t="s">
        <v>14</v>
      </c>
      <c r="Q2" s="1" t="s">
        <v>20</v>
      </c>
      <c r="R2" s="1" t="s">
        <v>21</v>
      </c>
      <c r="U2" s="1" t="s">
        <v>14</v>
      </c>
      <c r="V2" s="1" t="s">
        <v>20</v>
      </c>
      <c r="W2" s="1" t="s">
        <v>21</v>
      </c>
    </row>
    <row r="3" spans="1:23" ht="14.25" customHeight="1" x14ac:dyDescent="0.3">
      <c r="A3" s="2" t="s">
        <v>24</v>
      </c>
      <c r="B3" s="2">
        <v>1</v>
      </c>
      <c r="C3" s="2" t="s">
        <v>25</v>
      </c>
      <c r="F3" s="2" t="s">
        <v>24</v>
      </c>
      <c r="G3" s="2">
        <v>1</v>
      </c>
      <c r="H3" s="2" t="s">
        <v>25</v>
      </c>
      <c r="K3" s="2" t="s">
        <v>24</v>
      </c>
      <c r="L3" s="2">
        <v>0</v>
      </c>
      <c r="M3" s="2" t="s">
        <v>25</v>
      </c>
      <c r="P3" s="2" t="s">
        <v>24</v>
      </c>
      <c r="Q3" s="2">
        <v>0</v>
      </c>
      <c r="R3" s="2" t="s">
        <v>25</v>
      </c>
      <c r="U3" s="2" t="s">
        <v>24</v>
      </c>
      <c r="V3" s="2">
        <v>0</v>
      </c>
      <c r="W3" s="2" t="s">
        <v>25</v>
      </c>
    </row>
    <row r="4" spans="1:23" ht="14.25" customHeight="1" x14ac:dyDescent="0.3">
      <c r="A4" s="2" t="s">
        <v>26</v>
      </c>
      <c r="B4" s="2">
        <v>1</v>
      </c>
      <c r="C4" s="2" t="s">
        <v>25</v>
      </c>
      <c r="F4" s="2" t="s">
        <v>26</v>
      </c>
      <c r="G4" s="2">
        <v>1</v>
      </c>
      <c r="H4" s="2" t="s">
        <v>25</v>
      </c>
      <c r="K4" s="2" t="s">
        <v>26</v>
      </c>
      <c r="L4" s="2">
        <v>2</v>
      </c>
      <c r="M4" s="2" t="s">
        <v>25</v>
      </c>
      <c r="P4" s="2" t="s">
        <v>26</v>
      </c>
      <c r="Q4" s="2">
        <v>2</v>
      </c>
      <c r="R4" s="2" t="s">
        <v>25</v>
      </c>
      <c r="U4" s="2" t="s">
        <v>26</v>
      </c>
      <c r="V4" s="2">
        <v>1</v>
      </c>
      <c r="W4" s="2" t="s">
        <v>25</v>
      </c>
    </row>
    <row r="5" spans="1:23" ht="14.25" customHeight="1" x14ac:dyDescent="0.3">
      <c r="A5" s="745" t="s">
        <v>28</v>
      </c>
      <c r="B5" s="743"/>
      <c r="C5" s="744"/>
      <c r="F5" s="745" t="s">
        <v>28</v>
      </c>
      <c r="G5" s="743"/>
      <c r="H5" s="744"/>
      <c r="K5" s="745" t="s">
        <v>28</v>
      </c>
      <c r="L5" s="743"/>
      <c r="M5" s="744"/>
      <c r="P5" s="745" t="s">
        <v>28</v>
      </c>
      <c r="Q5" s="743"/>
      <c r="R5" s="744"/>
      <c r="U5" s="745" t="s">
        <v>28</v>
      </c>
      <c r="V5" s="743"/>
      <c r="W5" s="744"/>
    </row>
    <row r="6" spans="1:23" ht="14.25" customHeight="1" x14ac:dyDescent="0.3">
      <c r="A6" s="2" t="s">
        <v>33</v>
      </c>
      <c r="B6" s="168">
        <f>(G185+G186)*B194</f>
        <v>3.0492000000000004</v>
      </c>
      <c r="C6" s="2" t="s">
        <v>35</v>
      </c>
      <c r="F6" s="2" t="s">
        <v>33</v>
      </c>
      <c r="G6" s="168">
        <f>(G185+G186)*B194</f>
        <v>3.0492000000000004</v>
      </c>
      <c r="H6" s="2" t="s">
        <v>35</v>
      </c>
      <c r="K6" s="2" t="s">
        <v>33</v>
      </c>
      <c r="L6" s="168">
        <f>L186*B194</f>
        <v>3.85968</v>
      </c>
      <c r="M6" s="2" t="s">
        <v>35</v>
      </c>
      <c r="P6" s="2" t="s">
        <v>33</v>
      </c>
      <c r="Q6" s="168">
        <f>N186*B194</f>
        <v>3.85968</v>
      </c>
      <c r="R6" s="2" t="s">
        <v>35</v>
      </c>
      <c r="U6" s="2" t="s">
        <v>33</v>
      </c>
      <c r="V6" s="2">
        <v>19.41</v>
      </c>
      <c r="W6" s="2" t="s">
        <v>35</v>
      </c>
    </row>
    <row r="7" spans="1:23" ht="14.25" customHeight="1" x14ac:dyDescent="0.3">
      <c r="A7" s="2" t="s">
        <v>36</v>
      </c>
      <c r="B7" s="168">
        <f>((B23*B195)*2)-B30</f>
        <v>15.695519999999995</v>
      </c>
      <c r="C7" s="2" t="s">
        <v>35</v>
      </c>
      <c r="F7" s="2" t="s">
        <v>36</v>
      </c>
      <c r="G7" s="168">
        <f>((G23*B195)*2)-G30</f>
        <v>17.62472</v>
      </c>
      <c r="H7" s="2" t="s">
        <v>35</v>
      </c>
      <c r="K7" s="2" t="s">
        <v>36</v>
      </c>
      <c r="L7" s="168">
        <f>(L23*$B$195*2)-L30</f>
        <v>19.935040000000004</v>
      </c>
      <c r="M7" s="2" t="s">
        <v>35</v>
      </c>
      <c r="P7" s="2" t="s">
        <v>36</v>
      </c>
      <c r="Q7" s="168">
        <f>(Q23*$B$195*2)-Q30</f>
        <v>11.885199999999999</v>
      </c>
      <c r="R7" s="2" t="s">
        <v>35</v>
      </c>
      <c r="U7" s="2" t="s">
        <v>36</v>
      </c>
      <c r="V7" s="168">
        <f>(V23*$B$195*2)-V30</f>
        <v>3.2846400000000031</v>
      </c>
      <c r="W7" s="2" t="s">
        <v>35</v>
      </c>
    </row>
    <row r="8" spans="1:23" ht="14.25" customHeight="1" x14ac:dyDescent="0.3">
      <c r="A8" s="2" t="s">
        <v>38</v>
      </c>
      <c r="B8" s="168">
        <f>((G183-G180)*B196)*2</f>
        <v>32.495800000000003</v>
      </c>
      <c r="C8" s="2" t="s">
        <v>35</v>
      </c>
      <c r="F8" s="2" t="s">
        <v>38</v>
      </c>
      <c r="G8" s="168">
        <f>((I183-I180)*B196)*2</f>
        <v>29.653800000000004</v>
      </c>
      <c r="H8" s="2" t="s">
        <v>35</v>
      </c>
      <c r="K8" s="2" t="s">
        <v>38</v>
      </c>
      <c r="L8" s="168">
        <f>((L183-L180)*B196)*2</f>
        <v>35.859000000000002</v>
      </c>
      <c r="M8" s="2" t="s">
        <v>35</v>
      </c>
      <c r="P8" s="2" t="s">
        <v>38</v>
      </c>
      <c r="Q8" s="2">
        <f>((N183-N180)*$B$196)*2</f>
        <v>40.67</v>
      </c>
      <c r="R8" s="2" t="s">
        <v>35</v>
      </c>
      <c r="U8" s="2" t="s">
        <v>38</v>
      </c>
      <c r="V8" s="168">
        <f>((O183-O180)*$B$196)*2</f>
        <v>21.1388</v>
      </c>
      <c r="W8" s="2" t="s">
        <v>35</v>
      </c>
    </row>
    <row r="9" spans="1:23" ht="14.25" customHeight="1" x14ac:dyDescent="0.3">
      <c r="A9" s="745" t="s">
        <v>39</v>
      </c>
      <c r="B9" s="743"/>
      <c r="C9" s="744"/>
      <c r="F9" s="745" t="s">
        <v>39</v>
      </c>
      <c r="G9" s="743"/>
      <c r="H9" s="744"/>
      <c r="K9" s="745" t="s">
        <v>39</v>
      </c>
      <c r="L9" s="743"/>
      <c r="M9" s="744"/>
      <c r="P9" s="745" t="s">
        <v>39</v>
      </c>
      <c r="Q9" s="743"/>
      <c r="R9" s="744"/>
      <c r="U9" s="745" t="s">
        <v>39</v>
      </c>
      <c r="V9" s="743"/>
      <c r="W9" s="744"/>
    </row>
    <row r="10" spans="1:23" ht="14.25" customHeight="1" x14ac:dyDescent="0.3">
      <c r="A10" s="2" t="s">
        <v>567</v>
      </c>
      <c r="B10" s="2">
        <f>B142</f>
        <v>289.2</v>
      </c>
      <c r="C10" s="2" t="s">
        <v>40</v>
      </c>
      <c r="F10" s="2" t="s">
        <v>567</v>
      </c>
      <c r="G10" s="168">
        <f>G142</f>
        <v>272.77499999999998</v>
      </c>
      <c r="H10" s="2" t="s">
        <v>40</v>
      </c>
      <c r="K10" s="2" t="s">
        <v>567</v>
      </c>
      <c r="L10" s="2">
        <f>L142</f>
        <v>348.8</v>
      </c>
      <c r="M10" s="2" t="s">
        <v>40</v>
      </c>
      <c r="P10" s="2" t="s">
        <v>567</v>
      </c>
      <c r="Q10" s="2">
        <f>Q142</f>
        <v>392.75</v>
      </c>
      <c r="R10" s="2" t="s">
        <v>40</v>
      </c>
      <c r="U10" s="2" t="s">
        <v>567</v>
      </c>
      <c r="V10" s="168">
        <f>V142</f>
        <v>190.07499999999999</v>
      </c>
      <c r="W10" s="2" t="s">
        <v>40</v>
      </c>
    </row>
    <row r="11" spans="1:23" ht="14.25" customHeight="1" x14ac:dyDescent="0.3">
      <c r="A11" s="2" t="s">
        <v>566</v>
      </c>
      <c r="B11" s="2">
        <f>B141</f>
        <v>115.67999999999999</v>
      </c>
      <c r="C11" s="2" t="s">
        <v>40</v>
      </c>
      <c r="F11" s="2" t="s">
        <v>566</v>
      </c>
      <c r="G11" s="2">
        <f>G141</f>
        <v>109.11</v>
      </c>
      <c r="H11" s="2" t="s">
        <v>40</v>
      </c>
      <c r="K11" s="2" t="s">
        <v>566</v>
      </c>
      <c r="L11" s="2">
        <f>L141</f>
        <v>139.52000000000001</v>
      </c>
      <c r="M11" s="2" t="s">
        <v>40</v>
      </c>
      <c r="P11" s="2" t="s">
        <v>566</v>
      </c>
      <c r="Q11" s="2">
        <f>Q141</f>
        <v>157.1</v>
      </c>
      <c r="R11" s="2" t="s">
        <v>40</v>
      </c>
      <c r="U11" s="2" t="s">
        <v>566</v>
      </c>
      <c r="V11" s="2">
        <f>V141</f>
        <v>76.03</v>
      </c>
      <c r="W11" s="2" t="s">
        <v>40</v>
      </c>
    </row>
    <row r="12" spans="1:23" ht="14.25" customHeight="1" x14ac:dyDescent="0.3">
      <c r="A12" s="2" t="s">
        <v>568</v>
      </c>
      <c r="B12" s="2">
        <f>B148</f>
        <v>90</v>
      </c>
      <c r="C12" s="2" t="s">
        <v>40</v>
      </c>
      <c r="F12" s="2" t="s">
        <v>568</v>
      </c>
      <c r="G12" s="2">
        <f>G148</f>
        <v>90</v>
      </c>
      <c r="H12" s="2" t="s">
        <v>40</v>
      </c>
      <c r="K12" s="2" t="s">
        <v>568</v>
      </c>
      <c r="L12" s="2">
        <f>L148</f>
        <v>120</v>
      </c>
      <c r="M12" s="2" t="s">
        <v>40</v>
      </c>
      <c r="P12" s="2" t="s">
        <v>568</v>
      </c>
      <c r="Q12" s="2">
        <f>Q148</f>
        <v>120</v>
      </c>
      <c r="R12" s="2" t="s">
        <v>40</v>
      </c>
      <c r="U12" s="2" t="s">
        <v>568</v>
      </c>
      <c r="V12" s="2">
        <f>V148</f>
        <v>60</v>
      </c>
      <c r="W12" s="2" t="s">
        <v>40</v>
      </c>
    </row>
    <row r="13" spans="1:23" ht="14.25" customHeight="1" x14ac:dyDescent="0.3">
      <c r="A13" s="2" t="s">
        <v>331</v>
      </c>
      <c r="B13" s="2">
        <f>B123</f>
        <v>54.77</v>
      </c>
      <c r="C13" s="2" t="s">
        <v>40</v>
      </c>
      <c r="F13" s="2" t="s">
        <v>331</v>
      </c>
      <c r="G13" s="2">
        <f>G150</f>
        <v>64.209999999999994</v>
      </c>
      <c r="H13" s="2" t="s">
        <v>40</v>
      </c>
      <c r="K13" s="2" t="s">
        <v>331</v>
      </c>
      <c r="L13" s="2">
        <f>L150</f>
        <v>67.459999999999994</v>
      </c>
      <c r="M13" s="2" t="s">
        <v>40</v>
      </c>
      <c r="P13" s="2" t="s">
        <v>331</v>
      </c>
      <c r="Q13" s="2">
        <f>Q150</f>
        <v>70.040000000000006</v>
      </c>
      <c r="R13" s="2" t="s">
        <v>40</v>
      </c>
      <c r="U13" s="2" t="s">
        <v>331</v>
      </c>
      <c r="V13" s="2">
        <f>V150</f>
        <v>32.19</v>
      </c>
      <c r="W13" s="2" t="s">
        <v>40</v>
      </c>
    </row>
    <row r="14" spans="1:23" ht="14.25" customHeight="1" x14ac:dyDescent="0.3">
      <c r="A14" s="2" t="s">
        <v>42</v>
      </c>
      <c r="B14" s="168">
        <f>B145</f>
        <v>218.22899999999998</v>
      </c>
      <c r="C14" s="2" t="s">
        <v>40</v>
      </c>
      <c r="F14" s="2" t="s">
        <v>42</v>
      </c>
      <c r="G14" s="168">
        <f>G145</f>
        <v>221.7765</v>
      </c>
      <c r="H14" s="2" t="s">
        <v>40</v>
      </c>
      <c r="K14" s="2" t="s">
        <v>42</v>
      </c>
      <c r="L14" s="168">
        <f>L145</f>
        <v>276.19349999999997</v>
      </c>
      <c r="M14" s="2" t="s">
        <v>40</v>
      </c>
      <c r="P14" s="2" t="s">
        <v>42</v>
      </c>
      <c r="Q14" s="168">
        <f>Q145</f>
        <v>297.31349999999998</v>
      </c>
      <c r="R14" s="2" t="s">
        <v>40</v>
      </c>
      <c r="U14" s="2" t="s">
        <v>42</v>
      </c>
      <c r="V14" s="168">
        <f>V145</f>
        <v>134.26049999999998</v>
      </c>
      <c r="W14" s="2" t="s">
        <v>40</v>
      </c>
    </row>
    <row r="15" spans="1:23" ht="14.25" customHeight="1" x14ac:dyDescent="0.3">
      <c r="A15" s="2" t="s">
        <v>43</v>
      </c>
      <c r="B15" s="168">
        <f>B146</f>
        <v>6.7788000000000004</v>
      </c>
      <c r="C15" s="2" t="s">
        <v>34</v>
      </c>
      <c r="F15" s="2" t="s">
        <v>43</v>
      </c>
      <c r="G15" s="168">
        <f>G119</f>
        <v>4.1905000000000001</v>
      </c>
      <c r="H15" s="2" t="s">
        <v>34</v>
      </c>
      <c r="K15" s="2" t="s">
        <v>43</v>
      </c>
      <c r="L15" s="168">
        <f>L146</f>
        <v>8.648200000000001</v>
      </c>
      <c r="M15" s="2" t="s">
        <v>34</v>
      </c>
      <c r="P15" s="2" t="s">
        <v>43</v>
      </c>
      <c r="Q15" s="168">
        <f>Q146</f>
        <v>9.2403999999999993</v>
      </c>
      <c r="R15" s="2" t="s">
        <v>34</v>
      </c>
      <c r="U15" s="2" t="s">
        <v>43</v>
      </c>
      <c r="V15" s="168">
        <f>V146</f>
        <v>4.1219000000000001</v>
      </c>
      <c r="W15" s="2" t="s">
        <v>34</v>
      </c>
    </row>
    <row r="16" spans="1:23" ht="14.25" customHeight="1" x14ac:dyDescent="0.3">
      <c r="A16" s="2" t="s">
        <v>44</v>
      </c>
      <c r="B16" s="171">
        <f>B143</f>
        <v>925.43999999999994</v>
      </c>
      <c r="C16" s="2" t="s">
        <v>25</v>
      </c>
      <c r="F16" s="2" t="s">
        <v>44</v>
      </c>
      <c r="G16" s="171">
        <f>G143</f>
        <v>872.88</v>
      </c>
      <c r="H16" s="2" t="s">
        <v>25</v>
      </c>
      <c r="K16" s="2" t="s">
        <v>44</v>
      </c>
      <c r="L16" s="171">
        <f>L143</f>
        <v>1116.1600000000001</v>
      </c>
      <c r="M16" s="2" t="s">
        <v>25</v>
      </c>
      <c r="P16" s="2" t="s">
        <v>44</v>
      </c>
      <c r="Q16" s="171">
        <f>Q143</f>
        <v>1256.8</v>
      </c>
      <c r="R16" s="2" t="s">
        <v>25</v>
      </c>
      <c r="U16" s="2" t="s">
        <v>44</v>
      </c>
      <c r="V16" s="2">
        <f>V143</f>
        <v>608.24</v>
      </c>
      <c r="W16" s="2" t="s">
        <v>25</v>
      </c>
    </row>
    <row r="17" spans="1:23" ht="14.25" customHeight="1" x14ac:dyDescent="0.3">
      <c r="A17" s="2" t="s">
        <v>45</v>
      </c>
      <c r="B17" s="171">
        <f>B144</f>
        <v>1944.3799999999999</v>
      </c>
      <c r="C17" s="2" t="s">
        <v>25</v>
      </c>
      <c r="F17" s="2" t="s">
        <v>45</v>
      </c>
      <c r="G17" s="171">
        <f>G144</f>
        <v>1972.33</v>
      </c>
      <c r="H17" s="2" t="s">
        <v>25</v>
      </c>
      <c r="K17" s="2" t="s">
        <v>45</v>
      </c>
      <c r="L17" s="171">
        <f>L144</f>
        <v>2476.0700000000002</v>
      </c>
      <c r="M17" s="2" t="s">
        <v>25</v>
      </c>
      <c r="P17" s="2" t="s">
        <v>45</v>
      </c>
      <c r="Q17" s="171">
        <f>Q144</f>
        <v>2642.47</v>
      </c>
      <c r="R17" s="2" t="s">
        <v>25</v>
      </c>
      <c r="U17" s="2" t="s">
        <v>45</v>
      </c>
      <c r="V17" s="2">
        <f>V144</f>
        <v>1207.81</v>
      </c>
      <c r="W17" s="2" t="s">
        <v>25</v>
      </c>
    </row>
    <row r="18" spans="1:23" ht="14.25" customHeight="1" x14ac:dyDescent="0.3">
      <c r="A18" s="358" t="s">
        <v>767</v>
      </c>
      <c r="B18" s="171">
        <f>B158</f>
        <v>198.55500000000001</v>
      </c>
      <c r="C18" s="357" t="s">
        <v>6</v>
      </c>
      <c r="F18" s="358" t="s">
        <v>767</v>
      </c>
      <c r="G18" s="171">
        <f>G158</f>
        <v>182.50050000000002</v>
      </c>
      <c r="H18" s="357" t="s">
        <v>6</v>
      </c>
      <c r="K18" s="358" t="s">
        <v>767</v>
      </c>
      <c r="L18" s="171">
        <f>L158</f>
        <v>243.23250000000002</v>
      </c>
      <c r="M18" s="357" t="s">
        <v>6</v>
      </c>
      <c r="P18" s="358" t="s">
        <v>767</v>
      </c>
      <c r="Q18" s="171">
        <f>Q158</f>
        <v>266.71050000000002</v>
      </c>
      <c r="R18" s="357" t="s">
        <v>6</v>
      </c>
      <c r="U18" s="358" t="s">
        <v>767</v>
      </c>
      <c r="V18" s="171">
        <f>V158</f>
        <v>137.22450000000001</v>
      </c>
      <c r="W18" s="357" t="s">
        <v>6</v>
      </c>
    </row>
    <row r="19" spans="1:23" ht="14.25" customHeight="1" x14ac:dyDescent="0.3">
      <c r="A19" s="358" t="s">
        <v>768</v>
      </c>
      <c r="B19" s="171">
        <f t="shared" ref="B19:B21" si="0">B159</f>
        <v>178.6995</v>
      </c>
      <c r="C19" s="357" t="s">
        <v>40</v>
      </c>
      <c r="F19" s="358" t="s">
        <v>768</v>
      </c>
      <c r="G19" s="171">
        <f t="shared" ref="G19:G21" si="1">G159</f>
        <v>164.25045000000003</v>
      </c>
      <c r="H19" s="357" t="s">
        <v>40</v>
      </c>
      <c r="K19" s="358" t="s">
        <v>768</v>
      </c>
      <c r="L19" s="171">
        <f t="shared" ref="L19:L21" si="2">L159</f>
        <v>218.90925000000001</v>
      </c>
      <c r="M19" s="357" t="s">
        <v>40</v>
      </c>
      <c r="P19" s="358" t="s">
        <v>768</v>
      </c>
      <c r="Q19" s="171">
        <f t="shared" ref="Q19:Q21" si="3">Q159</f>
        <v>240.03945000000002</v>
      </c>
      <c r="R19" s="357" t="s">
        <v>40</v>
      </c>
      <c r="U19" s="358" t="s">
        <v>768</v>
      </c>
      <c r="V19" s="171">
        <f t="shared" ref="V19:V21" si="4">V159</f>
        <v>123.50205000000001</v>
      </c>
      <c r="W19" s="357" t="s">
        <v>40</v>
      </c>
    </row>
    <row r="20" spans="1:23" ht="14.25" customHeight="1" x14ac:dyDescent="0.3">
      <c r="A20" s="377" t="s">
        <v>769</v>
      </c>
      <c r="B20" s="171">
        <f t="shared" si="0"/>
        <v>132.26</v>
      </c>
      <c r="C20" s="357" t="s">
        <v>40</v>
      </c>
      <c r="F20" s="377" t="s">
        <v>769</v>
      </c>
      <c r="G20" s="171">
        <f t="shared" si="1"/>
        <v>134.41</v>
      </c>
      <c r="H20" s="357" t="s">
        <v>40</v>
      </c>
      <c r="K20" s="377" t="s">
        <v>769</v>
      </c>
      <c r="L20" s="171">
        <f t="shared" si="2"/>
        <v>167.39000000000001</v>
      </c>
      <c r="M20" s="357" t="s">
        <v>40</v>
      </c>
      <c r="P20" s="377" t="s">
        <v>769</v>
      </c>
      <c r="Q20" s="171">
        <f t="shared" si="3"/>
        <v>180.19</v>
      </c>
      <c r="R20" s="357" t="s">
        <v>40</v>
      </c>
      <c r="U20" s="377" t="s">
        <v>769</v>
      </c>
      <c r="V20" s="171">
        <f t="shared" si="4"/>
        <v>81.37</v>
      </c>
      <c r="W20" s="357" t="s">
        <v>40</v>
      </c>
    </row>
    <row r="21" spans="1:23" ht="14.25" customHeight="1" x14ac:dyDescent="0.3">
      <c r="A21" s="378" t="s">
        <v>770</v>
      </c>
      <c r="B21" s="171">
        <f t="shared" si="0"/>
        <v>45</v>
      </c>
      <c r="C21" s="357" t="s">
        <v>6</v>
      </c>
      <c r="F21" s="378" t="s">
        <v>770</v>
      </c>
      <c r="G21" s="171">
        <f t="shared" si="1"/>
        <v>45</v>
      </c>
      <c r="H21" s="357" t="s">
        <v>6</v>
      </c>
      <c r="K21" s="378" t="s">
        <v>770</v>
      </c>
      <c r="L21" s="171">
        <f t="shared" si="2"/>
        <v>60</v>
      </c>
      <c r="M21" s="357" t="s">
        <v>6</v>
      </c>
      <c r="P21" s="378" t="s">
        <v>770</v>
      </c>
      <c r="Q21" s="171">
        <f t="shared" si="3"/>
        <v>60</v>
      </c>
      <c r="R21" s="357" t="s">
        <v>6</v>
      </c>
      <c r="U21" s="378" t="s">
        <v>770</v>
      </c>
      <c r="V21" s="171">
        <f t="shared" si="4"/>
        <v>30</v>
      </c>
      <c r="W21" s="357" t="s">
        <v>6</v>
      </c>
    </row>
    <row r="22" spans="1:23" ht="14.25" customHeight="1" x14ac:dyDescent="0.3">
      <c r="A22" s="357" t="s">
        <v>48</v>
      </c>
      <c r="B22" s="2">
        <f>B157</f>
        <v>160.68</v>
      </c>
      <c r="C22" s="2" t="s">
        <v>40</v>
      </c>
      <c r="F22" s="357" t="s">
        <v>48</v>
      </c>
      <c r="G22" s="2">
        <f>G157</f>
        <v>154.11000000000001</v>
      </c>
      <c r="H22" s="2" t="s">
        <v>40</v>
      </c>
      <c r="K22" s="357" t="s">
        <v>48</v>
      </c>
      <c r="L22" s="2">
        <f>L157</f>
        <v>199.52</v>
      </c>
      <c r="M22" s="2" t="s">
        <v>40</v>
      </c>
      <c r="P22" s="357" t="s">
        <v>48</v>
      </c>
      <c r="Q22" s="2">
        <f>Q157</f>
        <v>217.1</v>
      </c>
      <c r="R22" s="2" t="s">
        <v>40</v>
      </c>
      <c r="U22" s="357" t="s">
        <v>48</v>
      </c>
      <c r="V22" s="2">
        <f>V157</f>
        <v>106.03</v>
      </c>
      <c r="W22" s="2" t="s">
        <v>40</v>
      </c>
    </row>
    <row r="23" spans="1:23" ht="14.25" customHeight="1" x14ac:dyDescent="0.3">
      <c r="A23" s="2" t="s">
        <v>57</v>
      </c>
      <c r="B23" s="168">
        <f>B147</f>
        <v>124.97199999999998</v>
      </c>
      <c r="C23" s="2" t="s">
        <v>6</v>
      </c>
      <c r="F23" s="2" t="s">
        <v>57</v>
      </c>
      <c r="G23" s="168">
        <f>G147</f>
        <v>127.0295</v>
      </c>
      <c r="H23" s="2" t="s">
        <v>6</v>
      </c>
      <c r="K23" s="2" t="s">
        <v>57</v>
      </c>
      <c r="L23" s="168">
        <f>L147</f>
        <v>157.09400000000002</v>
      </c>
      <c r="M23" s="2" t="s">
        <v>6</v>
      </c>
      <c r="P23" s="2" t="s">
        <v>57</v>
      </c>
      <c r="Q23" s="2">
        <f>Q147</f>
        <v>172.095</v>
      </c>
      <c r="R23" s="2" t="s">
        <v>6</v>
      </c>
      <c r="U23" s="2" t="s">
        <v>57</v>
      </c>
      <c r="V23" s="168">
        <f>V147</f>
        <v>75.341500000000011</v>
      </c>
      <c r="W23" s="2" t="s">
        <v>6</v>
      </c>
    </row>
    <row r="24" spans="1:23" ht="14.25" customHeight="1" x14ac:dyDescent="0.3">
      <c r="A24" s="2" t="s">
        <v>62</v>
      </c>
      <c r="B24" s="2">
        <f>B149</f>
        <v>45</v>
      </c>
      <c r="C24" s="2" t="s">
        <v>6</v>
      </c>
      <c r="F24" s="2" t="s">
        <v>62</v>
      </c>
      <c r="G24" s="2">
        <f>G149</f>
        <v>45</v>
      </c>
      <c r="H24" s="2" t="s">
        <v>6</v>
      </c>
      <c r="K24" s="2" t="s">
        <v>62</v>
      </c>
      <c r="L24" s="2">
        <f>L149</f>
        <v>60</v>
      </c>
      <c r="M24" s="2" t="s">
        <v>6</v>
      </c>
      <c r="P24" s="2" t="s">
        <v>62</v>
      </c>
      <c r="Q24" s="2">
        <f>Q149</f>
        <v>60</v>
      </c>
      <c r="R24" s="2" t="s">
        <v>6</v>
      </c>
      <c r="U24" s="2" t="s">
        <v>62</v>
      </c>
      <c r="V24" s="2">
        <f>V149</f>
        <v>30</v>
      </c>
      <c r="W24" s="2" t="s">
        <v>6</v>
      </c>
    </row>
    <row r="25" spans="1:23" ht="14.25" customHeight="1" x14ac:dyDescent="0.3">
      <c r="A25" s="2" t="s">
        <v>63</v>
      </c>
      <c r="B25" s="2">
        <f>B151</f>
        <v>54.77</v>
      </c>
      <c r="C25" s="2" t="s">
        <v>40</v>
      </c>
      <c r="F25" s="2" t="s">
        <v>63</v>
      </c>
      <c r="G25" s="2">
        <f>G151</f>
        <v>64.209999999999994</v>
      </c>
      <c r="H25" s="2" t="s">
        <v>40</v>
      </c>
      <c r="K25" s="2" t="s">
        <v>63</v>
      </c>
      <c r="L25" s="2">
        <f>L151</f>
        <v>67.459999999999994</v>
      </c>
      <c r="M25" s="2" t="s">
        <v>40</v>
      </c>
      <c r="P25" s="2" t="s">
        <v>63</v>
      </c>
      <c r="Q25" s="2">
        <f>Q151</f>
        <v>70.040000000000006</v>
      </c>
      <c r="R25" s="2" t="s">
        <v>40</v>
      </c>
      <c r="U25" s="2" t="s">
        <v>63</v>
      </c>
      <c r="V25" s="2">
        <f>V151</f>
        <v>32.19</v>
      </c>
      <c r="W25" s="2" t="s">
        <v>40</v>
      </c>
    </row>
    <row r="26" spans="1:23" ht="14.25" customHeight="1" x14ac:dyDescent="0.3">
      <c r="A26" s="2" t="s">
        <v>65</v>
      </c>
      <c r="B26" s="2">
        <v>3.5</v>
      </c>
      <c r="C26" s="2" t="s">
        <v>6</v>
      </c>
      <c r="F26" s="2" t="s">
        <v>65</v>
      </c>
      <c r="G26" s="2">
        <v>3.5</v>
      </c>
      <c r="H26" s="2" t="s">
        <v>6</v>
      </c>
      <c r="K26" s="2" t="s">
        <v>65</v>
      </c>
      <c r="L26" s="2">
        <v>3.5</v>
      </c>
      <c r="M26" s="2" t="s">
        <v>6</v>
      </c>
      <c r="P26" s="2" t="s">
        <v>65</v>
      </c>
      <c r="Q26" s="2">
        <v>3.5</v>
      </c>
      <c r="R26" s="2" t="s">
        <v>6</v>
      </c>
      <c r="U26" s="2" t="s">
        <v>65</v>
      </c>
      <c r="V26" s="2">
        <v>2.31</v>
      </c>
      <c r="W26" s="2" t="s">
        <v>6</v>
      </c>
    </row>
    <row r="27" spans="1:23" ht="14.25" customHeight="1" x14ac:dyDescent="0.3">
      <c r="A27" s="2" t="s">
        <v>66</v>
      </c>
      <c r="B27" s="2">
        <v>6.9</v>
      </c>
      <c r="C27" s="2" t="s">
        <v>6</v>
      </c>
      <c r="F27" s="2" t="s">
        <v>66</v>
      </c>
      <c r="G27" s="2">
        <v>6.87</v>
      </c>
      <c r="H27" s="2" t="s">
        <v>6</v>
      </c>
      <c r="K27" s="2" t="s">
        <v>66</v>
      </c>
      <c r="L27" s="2">
        <v>6.77</v>
      </c>
      <c r="M27" s="2" t="s">
        <v>6</v>
      </c>
      <c r="P27" s="2" t="s">
        <v>66</v>
      </c>
      <c r="Q27" s="2">
        <v>6.5</v>
      </c>
      <c r="R27" s="2" t="s">
        <v>6</v>
      </c>
      <c r="U27" s="2" t="s">
        <v>66</v>
      </c>
      <c r="V27" s="2">
        <v>4.97</v>
      </c>
      <c r="W27" s="2" t="s">
        <v>6</v>
      </c>
    </row>
    <row r="28" spans="1:23" ht="14.25" customHeight="1" x14ac:dyDescent="0.3">
      <c r="A28" s="2" t="s">
        <v>69</v>
      </c>
      <c r="B28" s="2">
        <f>(B26+B27+B61)*$B$191</f>
        <v>60.480000000000004</v>
      </c>
      <c r="C28" s="2" t="s">
        <v>34</v>
      </c>
      <c r="F28" s="2" t="s">
        <v>69</v>
      </c>
      <c r="G28" s="2">
        <f>(G26+G27+G61)*$B$191</f>
        <v>54.88</v>
      </c>
      <c r="H28" s="2" t="s">
        <v>34</v>
      </c>
      <c r="K28" s="2" t="s">
        <v>69</v>
      </c>
      <c r="L28" s="2">
        <f>(L26+L27+L61)*$B$191</f>
        <v>59.879999999999995</v>
      </c>
      <c r="M28" s="2" t="s">
        <v>34</v>
      </c>
      <c r="P28" s="2" t="s">
        <v>69</v>
      </c>
      <c r="Q28" s="2">
        <f>(Q26+Q27+Q61)*$B$191</f>
        <v>54.6</v>
      </c>
      <c r="R28" s="2" t="s">
        <v>34</v>
      </c>
      <c r="U28" s="2" t="s">
        <v>69</v>
      </c>
      <c r="V28" s="2">
        <f>(V26+V27+V61)*$B$191</f>
        <v>37.08</v>
      </c>
      <c r="W28" s="2" t="s">
        <v>34</v>
      </c>
    </row>
    <row r="29" spans="1:23" ht="14.25" customHeight="1" x14ac:dyDescent="0.3">
      <c r="A29" s="2" t="s">
        <v>74</v>
      </c>
      <c r="B29" s="168">
        <f>(B26+B27+B61)*$B$192</f>
        <v>5.8968000000000007</v>
      </c>
      <c r="C29" s="2" t="s">
        <v>34</v>
      </c>
      <c r="F29" s="2" t="s">
        <v>74</v>
      </c>
      <c r="G29" s="168">
        <f>(G26+G27+G61)*$B$192</f>
        <v>5.3508000000000004</v>
      </c>
      <c r="H29" s="2" t="s">
        <v>34</v>
      </c>
      <c r="K29" s="2" t="s">
        <v>74</v>
      </c>
      <c r="L29" s="168">
        <f>(L26+L27+L61)*$B$192</f>
        <v>5.8382999999999994</v>
      </c>
      <c r="M29" s="2" t="s">
        <v>34</v>
      </c>
      <c r="P29" s="2" t="s">
        <v>74</v>
      </c>
      <c r="Q29" s="168">
        <f>(Q26+Q27+Q61)*$B$192</f>
        <v>5.3235000000000001</v>
      </c>
      <c r="R29" s="2" t="s">
        <v>34</v>
      </c>
      <c r="U29" s="2" t="s">
        <v>74</v>
      </c>
      <c r="V29" s="168">
        <f>(V26+V27+V61)*$B$192</f>
        <v>3.6153</v>
      </c>
      <c r="W29" s="2" t="s">
        <v>34</v>
      </c>
    </row>
    <row r="30" spans="1:23" ht="14.25" customHeight="1" x14ac:dyDescent="0.3">
      <c r="A30" s="2" t="s">
        <v>75</v>
      </c>
      <c r="B30" s="2">
        <v>4.3</v>
      </c>
      <c r="C30" s="2" t="s">
        <v>35</v>
      </c>
      <c r="F30" s="2" t="s">
        <v>77</v>
      </c>
      <c r="G30" s="2">
        <v>2.7</v>
      </c>
      <c r="H30" s="2" t="s">
        <v>35</v>
      </c>
      <c r="K30" s="2" t="s">
        <v>77</v>
      </c>
      <c r="L30" s="2">
        <v>5.2</v>
      </c>
      <c r="M30" s="2" t="s">
        <v>35</v>
      </c>
      <c r="P30" s="2" t="s">
        <v>77</v>
      </c>
      <c r="Q30" s="2">
        <v>15.65</v>
      </c>
      <c r="R30" s="2" t="s">
        <v>35</v>
      </c>
      <c r="U30" s="2" t="s">
        <v>77</v>
      </c>
      <c r="V30" s="2">
        <v>8.77</v>
      </c>
      <c r="W30" s="2" t="s">
        <v>35</v>
      </c>
    </row>
    <row r="31" spans="1:23" ht="14.25" customHeight="1" x14ac:dyDescent="0.3">
      <c r="A31" s="745" t="s">
        <v>80</v>
      </c>
      <c r="B31" s="743"/>
      <c r="C31" s="744"/>
      <c r="F31" s="745" t="s">
        <v>80</v>
      </c>
      <c r="G31" s="743"/>
      <c r="H31" s="744"/>
      <c r="K31" s="745" t="s">
        <v>80</v>
      </c>
      <c r="L31" s="743"/>
      <c r="M31" s="744"/>
      <c r="P31" s="745" t="s">
        <v>80</v>
      </c>
      <c r="Q31" s="743"/>
      <c r="R31" s="744"/>
      <c r="U31" s="745" t="s">
        <v>80</v>
      </c>
      <c r="V31" s="743"/>
      <c r="W31" s="744"/>
    </row>
    <row r="32" spans="1:23" ht="14.25" customHeight="1" x14ac:dyDescent="0.3">
      <c r="A32" s="2" t="s">
        <v>82</v>
      </c>
      <c r="B32" s="2">
        <v>1</v>
      </c>
      <c r="C32" s="2" t="s">
        <v>25</v>
      </c>
      <c r="F32" s="2" t="s">
        <v>82</v>
      </c>
      <c r="G32" s="2">
        <v>1</v>
      </c>
      <c r="H32" s="2" t="s">
        <v>25</v>
      </c>
      <c r="K32" s="2" t="s">
        <v>82</v>
      </c>
      <c r="L32" s="2">
        <v>1</v>
      </c>
      <c r="M32" s="2" t="s">
        <v>25</v>
      </c>
      <c r="P32" s="2" t="s">
        <v>82</v>
      </c>
      <c r="Q32" s="2">
        <v>1</v>
      </c>
      <c r="R32" s="2" t="s">
        <v>25</v>
      </c>
      <c r="U32" s="2" t="s">
        <v>82</v>
      </c>
      <c r="V32" s="2">
        <v>1</v>
      </c>
      <c r="W32" s="2" t="s">
        <v>25</v>
      </c>
    </row>
    <row r="33" spans="1:23" ht="14.25" customHeight="1" x14ac:dyDescent="0.3">
      <c r="A33" s="2" t="s">
        <v>84</v>
      </c>
      <c r="B33" s="2">
        <v>1</v>
      </c>
      <c r="C33" s="2" t="s">
        <v>25</v>
      </c>
      <c r="F33" s="2" t="s">
        <v>84</v>
      </c>
      <c r="G33" s="2">
        <v>1</v>
      </c>
      <c r="H33" s="2" t="s">
        <v>25</v>
      </c>
      <c r="K33" s="2" t="s">
        <v>84</v>
      </c>
      <c r="L33" s="2">
        <v>1</v>
      </c>
      <c r="M33" s="2" t="s">
        <v>25</v>
      </c>
      <c r="P33" s="2" t="s">
        <v>84</v>
      </c>
      <c r="Q33" s="2">
        <v>1</v>
      </c>
      <c r="R33" s="2" t="s">
        <v>25</v>
      </c>
      <c r="U33" s="2" t="s">
        <v>84</v>
      </c>
      <c r="V33" s="2">
        <v>1</v>
      </c>
      <c r="W33" s="2" t="s">
        <v>25</v>
      </c>
    </row>
    <row r="34" spans="1:23" ht="14.25" customHeight="1" x14ac:dyDescent="0.3">
      <c r="A34" s="2" t="s">
        <v>86</v>
      </c>
      <c r="B34" s="2">
        <f>B43*5</f>
        <v>233.64999999999998</v>
      </c>
      <c r="C34" s="2" t="s">
        <v>40</v>
      </c>
      <c r="F34" s="2" t="s">
        <v>86</v>
      </c>
      <c r="G34" s="2">
        <f>G43*5</f>
        <v>215.15</v>
      </c>
      <c r="H34" s="2" t="s">
        <v>40</v>
      </c>
      <c r="K34" s="2" t="s">
        <v>86</v>
      </c>
      <c r="L34" s="2">
        <f>L43*5</f>
        <v>259</v>
      </c>
      <c r="M34" s="2" t="s">
        <v>40</v>
      </c>
      <c r="P34" s="2" t="s">
        <v>86</v>
      </c>
      <c r="Q34" s="2">
        <f>Q43*5</f>
        <v>289</v>
      </c>
      <c r="R34" s="2" t="s">
        <v>40</v>
      </c>
      <c r="U34" s="2" t="s">
        <v>86</v>
      </c>
      <c r="V34" s="2">
        <f>V43*5</f>
        <v>139.19999999999999</v>
      </c>
      <c r="W34" s="2" t="s">
        <v>40</v>
      </c>
    </row>
    <row r="35" spans="1:23" ht="14.25" customHeight="1" x14ac:dyDescent="0.3">
      <c r="A35" s="2" t="s">
        <v>90</v>
      </c>
      <c r="B35" s="2">
        <v>1</v>
      </c>
      <c r="C35" s="2" t="s">
        <v>25</v>
      </c>
      <c r="F35" s="2" t="s">
        <v>90</v>
      </c>
      <c r="G35" s="2">
        <v>1</v>
      </c>
      <c r="H35" s="2" t="s">
        <v>25</v>
      </c>
      <c r="K35" s="2" t="s">
        <v>90</v>
      </c>
      <c r="L35" s="2">
        <v>1</v>
      </c>
      <c r="M35" s="2" t="s">
        <v>25</v>
      </c>
      <c r="P35" s="2" t="s">
        <v>90</v>
      </c>
      <c r="Q35" s="2">
        <v>1</v>
      </c>
      <c r="R35" s="2" t="s">
        <v>25</v>
      </c>
      <c r="U35" s="2" t="s">
        <v>90</v>
      </c>
      <c r="V35" s="2">
        <v>1</v>
      </c>
      <c r="W35" s="2" t="s">
        <v>25</v>
      </c>
    </row>
    <row r="36" spans="1:23" ht="14.25" customHeight="1" x14ac:dyDescent="0.3">
      <c r="A36" s="2" t="s">
        <v>92</v>
      </c>
      <c r="B36" s="2">
        <v>1</v>
      </c>
      <c r="C36" s="2" t="s">
        <v>25</v>
      </c>
      <c r="F36" s="2" t="s">
        <v>92</v>
      </c>
      <c r="G36" s="2">
        <v>1</v>
      </c>
      <c r="H36" s="2" t="s">
        <v>25</v>
      </c>
      <c r="K36" s="2" t="s">
        <v>92</v>
      </c>
      <c r="L36" s="2">
        <v>1</v>
      </c>
      <c r="M36" s="2" t="s">
        <v>25</v>
      </c>
      <c r="P36" s="2" t="s">
        <v>92</v>
      </c>
      <c r="Q36" s="2">
        <v>1</v>
      </c>
      <c r="R36" s="2" t="s">
        <v>25</v>
      </c>
      <c r="U36" s="2" t="s">
        <v>92</v>
      </c>
      <c r="V36" s="2">
        <v>1</v>
      </c>
      <c r="W36" s="2" t="s">
        <v>25</v>
      </c>
    </row>
    <row r="37" spans="1:23" ht="14.25" customHeight="1" x14ac:dyDescent="0.3">
      <c r="A37" s="2" t="s">
        <v>96</v>
      </c>
      <c r="B37" s="2">
        <v>22</v>
      </c>
      <c r="C37" s="2" t="s">
        <v>25</v>
      </c>
      <c r="F37" s="2" t="s">
        <v>96</v>
      </c>
      <c r="G37" s="2">
        <v>18</v>
      </c>
      <c r="H37" s="2" t="s">
        <v>25</v>
      </c>
      <c r="K37" s="2" t="s">
        <v>96</v>
      </c>
      <c r="L37" s="2">
        <v>23</v>
      </c>
      <c r="M37" s="2" t="s">
        <v>25</v>
      </c>
      <c r="P37" s="2" t="s">
        <v>96</v>
      </c>
      <c r="Q37" s="2">
        <v>26</v>
      </c>
      <c r="R37" s="2" t="s">
        <v>25</v>
      </c>
      <c r="U37" s="2" t="s">
        <v>96</v>
      </c>
      <c r="V37" s="2">
        <v>14</v>
      </c>
      <c r="W37" s="2" t="s">
        <v>25</v>
      </c>
    </row>
    <row r="38" spans="1:23" ht="14.25" customHeight="1" x14ac:dyDescent="0.3">
      <c r="A38" s="2" t="s">
        <v>100</v>
      </c>
      <c r="B38" s="2">
        <v>5</v>
      </c>
      <c r="C38" s="2" t="s">
        <v>25</v>
      </c>
      <c r="F38" s="2" t="s">
        <v>100</v>
      </c>
      <c r="G38" s="2">
        <v>4</v>
      </c>
      <c r="H38" s="2" t="s">
        <v>25</v>
      </c>
      <c r="K38" s="2" t="s">
        <v>100</v>
      </c>
      <c r="L38" s="2">
        <v>5</v>
      </c>
      <c r="M38" s="2" t="s">
        <v>25</v>
      </c>
      <c r="P38" s="2" t="s">
        <v>100</v>
      </c>
      <c r="Q38" s="2">
        <v>6</v>
      </c>
      <c r="R38" s="2" t="s">
        <v>25</v>
      </c>
      <c r="U38" s="2" t="s">
        <v>100</v>
      </c>
      <c r="V38" s="2">
        <v>3</v>
      </c>
      <c r="W38" s="2" t="s">
        <v>25</v>
      </c>
    </row>
    <row r="39" spans="1:23" ht="14.25" customHeight="1" x14ac:dyDescent="0.3">
      <c r="A39" s="2" t="s">
        <v>104</v>
      </c>
      <c r="B39" s="2">
        <v>22</v>
      </c>
      <c r="C39" s="2" t="s">
        <v>25</v>
      </c>
      <c r="F39" s="2" t="s">
        <v>104</v>
      </c>
      <c r="G39" s="2">
        <v>16</v>
      </c>
      <c r="H39" s="2" t="s">
        <v>25</v>
      </c>
      <c r="K39" s="2" t="s">
        <v>104</v>
      </c>
      <c r="L39" s="2">
        <v>23</v>
      </c>
      <c r="M39" s="2" t="s">
        <v>25</v>
      </c>
      <c r="P39" s="2" t="s">
        <v>104</v>
      </c>
      <c r="Q39" s="2">
        <v>26</v>
      </c>
      <c r="R39" s="2" t="s">
        <v>25</v>
      </c>
      <c r="U39" s="2" t="s">
        <v>104</v>
      </c>
      <c r="V39" s="2">
        <v>14</v>
      </c>
      <c r="W39" s="2" t="s">
        <v>25</v>
      </c>
    </row>
    <row r="40" spans="1:23" ht="14.25" customHeight="1" x14ac:dyDescent="0.3">
      <c r="A40" s="2" t="s">
        <v>106</v>
      </c>
      <c r="B40" s="2">
        <v>23</v>
      </c>
      <c r="C40" s="2" t="s">
        <v>25</v>
      </c>
      <c r="F40" s="2" t="s">
        <v>106</v>
      </c>
      <c r="G40" s="2">
        <v>21</v>
      </c>
      <c r="H40" s="2" t="s">
        <v>25</v>
      </c>
      <c r="K40" s="2" t="s">
        <v>106</v>
      </c>
      <c r="L40" s="2">
        <v>30</v>
      </c>
      <c r="M40" s="2" t="s">
        <v>25</v>
      </c>
      <c r="P40" s="2" t="s">
        <v>106</v>
      </c>
      <c r="Q40" s="2">
        <v>32</v>
      </c>
      <c r="R40" s="2" t="s">
        <v>25</v>
      </c>
      <c r="U40" s="2" t="s">
        <v>106</v>
      </c>
      <c r="V40" s="2">
        <v>20</v>
      </c>
      <c r="W40" s="2" t="s">
        <v>25</v>
      </c>
    </row>
    <row r="41" spans="1:23" ht="14.25" customHeight="1" x14ac:dyDescent="0.3">
      <c r="A41" s="2" t="s">
        <v>110</v>
      </c>
      <c r="B41" s="2">
        <v>11</v>
      </c>
      <c r="C41" s="2" t="s">
        <v>25</v>
      </c>
      <c r="F41" s="2" t="s">
        <v>110</v>
      </c>
      <c r="G41" s="2">
        <v>9</v>
      </c>
      <c r="H41" s="2" t="s">
        <v>25</v>
      </c>
      <c r="K41" s="2" t="s">
        <v>110</v>
      </c>
      <c r="L41" s="2">
        <v>14</v>
      </c>
      <c r="M41" s="2" t="s">
        <v>25</v>
      </c>
      <c r="P41" s="2" t="s">
        <v>110</v>
      </c>
      <c r="Q41" s="2">
        <v>15</v>
      </c>
      <c r="R41" s="2" t="s">
        <v>25</v>
      </c>
      <c r="U41" s="2" t="s">
        <v>110</v>
      </c>
      <c r="V41" s="2">
        <v>8</v>
      </c>
      <c r="W41" s="2" t="s">
        <v>25</v>
      </c>
    </row>
    <row r="42" spans="1:23" ht="14.25" customHeight="1" x14ac:dyDescent="0.3">
      <c r="A42" s="2" t="s">
        <v>111</v>
      </c>
      <c r="B42" s="2">
        <v>4</v>
      </c>
      <c r="C42" s="2" t="s">
        <v>25</v>
      </c>
      <c r="F42" s="2" t="s">
        <v>111</v>
      </c>
      <c r="G42" s="2">
        <v>6</v>
      </c>
      <c r="H42" s="2" t="s">
        <v>25</v>
      </c>
      <c r="K42" s="2" t="s">
        <v>111</v>
      </c>
      <c r="L42" s="2">
        <v>0</v>
      </c>
      <c r="M42" s="2" t="s">
        <v>25</v>
      </c>
      <c r="P42" s="2" t="s">
        <v>111</v>
      </c>
      <c r="Q42" s="2">
        <v>2</v>
      </c>
      <c r="R42" s="2" t="s">
        <v>25</v>
      </c>
      <c r="U42" s="2" t="s">
        <v>111</v>
      </c>
      <c r="V42" s="2">
        <v>0</v>
      </c>
      <c r="W42" s="2" t="s">
        <v>25</v>
      </c>
    </row>
    <row r="43" spans="1:23" ht="14.25" customHeight="1" x14ac:dyDescent="0.3">
      <c r="A43" s="2" t="s">
        <v>112</v>
      </c>
      <c r="B43" s="2">
        <v>46.73</v>
      </c>
      <c r="C43" s="2" t="s">
        <v>40</v>
      </c>
      <c r="F43" s="2" t="s">
        <v>112</v>
      </c>
      <c r="G43" s="2">
        <v>43.03</v>
      </c>
      <c r="H43" s="2" t="s">
        <v>40</v>
      </c>
      <c r="K43" s="2" t="s">
        <v>112</v>
      </c>
      <c r="L43" s="2">
        <v>51.8</v>
      </c>
      <c r="M43" s="2" t="s">
        <v>40</v>
      </c>
      <c r="P43" s="2" t="s">
        <v>112</v>
      </c>
      <c r="Q43" s="2">
        <v>57.8</v>
      </c>
      <c r="R43" s="2" t="s">
        <v>40</v>
      </c>
      <c r="U43" s="2" t="s">
        <v>112</v>
      </c>
      <c r="V43" s="2">
        <v>27.84</v>
      </c>
      <c r="W43" s="2" t="s">
        <v>40</v>
      </c>
    </row>
    <row r="44" spans="1:23" ht="14.25" customHeight="1" x14ac:dyDescent="0.3">
      <c r="A44" s="2" t="s">
        <v>350</v>
      </c>
      <c r="B44" s="2">
        <v>20</v>
      </c>
      <c r="C44" s="2" t="s">
        <v>25</v>
      </c>
      <c r="F44" s="2" t="s">
        <v>350</v>
      </c>
      <c r="G44" s="2">
        <v>21</v>
      </c>
      <c r="H44" s="2" t="s">
        <v>25</v>
      </c>
      <c r="K44" s="2" t="s">
        <v>350</v>
      </c>
      <c r="L44" s="2">
        <v>22</v>
      </c>
      <c r="M44" s="2" t="s">
        <v>25</v>
      </c>
      <c r="P44" s="2" t="s">
        <v>350</v>
      </c>
      <c r="Q44" s="2">
        <v>25</v>
      </c>
      <c r="R44" s="2" t="s">
        <v>25</v>
      </c>
      <c r="U44" s="2" t="s">
        <v>350</v>
      </c>
      <c r="V44" s="2">
        <v>15</v>
      </c>
      <c r="W44" s="2" t="s">
        <v>25</v>
      </c>
    </row>
    <row r="45" spans="1:23" ht="14.25" customHeight="1" x14ac:dyDescent="0.3">
      <c r="A45" s="2" t="s">
        <v>117</v>
      </c>
      <c r="B45" s="2">
        <v>1</v>
      </c>
      <c r="C45" s="2" t="s">
        <v>25</v>
      </c>
      <c r="F45" s="2" t="s">
        <v>117</v>
      </c>
      <c r="G45" s="2">
        <v>1</v>
      </c>
      <c r="H45" s="2" t="s">
        <v>25</v>
      </c>
      <c r="K45" s="2" t="s">
        <v>117</v>
      </c>
      <c r="L45" s="2">
        <v>1</v>
      </c>
      <c r="M45" s="2" t="s">
        <v>25</v>
      </c>
      <c r="P45" s="2" t="s">
        <v>117</v>
      </c>
      <c r="Q45" s="2">
        <v>1</v>
      </c>
      <c r="R45" s="2" t="s">
        <v>25</v>
      </c>
      <c r="U45" s="2" t="s">
        <v>117</v>
      </c>
      <c r="V45" s="2">
        <v>1</v>
      </c>
      <c r="W45" s="2" t="s">
        <v>25</v>
      </c>
    </row>
    <row r="46" spans="1:23" ht="14.25" customHeight="1" x14ac:dyDescent="0.3">
      <c r="A46" s="2" t="s">
        <v>119</v>
      </c>
      <c r="B46" s="2">
        <v>8</v>
      </c>
      <c r="C46" s="2" t="s">
        <v>25</v>
      </c>
      <c r="F46" s="2" t="s">
        <v>119</v>
      </c>
      <c r="G46" s="2">
        <v>8</v>
      </c>
      <c r="H46" s="2" t="s">
        <v>25</v>
      </c>
      <c r="K46" s="2" t="s">
        <v>119</v>
      </c>
      <c r="L46" s="2">
        <v>8</v>
      </c>
      <c r="M46" s="2" t="s">
        <v>25</v>
      </c>
      <c r="P46" s="2" t="s">
        <v>119</v>
      </c>
      <c r="Q46" s="2">
        <v>8</v>
      </c>
      <c r="R46" s="2" t="s">
        <v>25</v>
      </c>
      <c r="U46" s="2" t="s">
        <v>119</v>
      </c>
      <c r="V46" s="2">
        <v>8</v>
      </c>
      <c r="W46" s="2" t="s">
        <v>25</v>
      </c>
    </row>
    <row r="47" spans="1:23" ht="14.25" customHeight="1" x14ac:dyDescent="0.3">
      <c r="A47" s="2" t="s">
        <v>120</v>
      </c>
      <c r="B47" s="2">
        <v>2</v>
      </c>
      <c r="C47" s="2" t="s">
        <v>25</v>
      </c>
      <c r="F47" s="2" t="s">
        <v>120</v>
      </c>
      <c r="G47" s="2">
        <v>2</v>
      </c>
      <c r="H47" s="2" t="s">
        <v>25</v>
      </c>
      <c r="K47" s="2" t="s">
        <v>120</v>
      </c>
      <c r="L47" s="2">
        <v>2</v>
      </c>
      <c r="M47" s="2" t="s">
        <v>25</v>
      </c>
      <c r="P47" s="2" t="s">
        <v>120</v>
      </c>
      <c r="Q47" s="2">
        <v>2</v>
      </c>
      <c r="R47" s="2" t="s">
        <v>25</v>
      </c>
      <c r="U47" s="2" t="s">
        <v>120</v>
      </c>
      <c r="V47" s="2">
        <v>2</v>
      </c>
      <c r="W47" s="2" t="s">
        <v>25</v>
      </c>
    </row>
    <row r="48" spans="1:23" ht="14.25" customHeight="1" x14ac:dyDescent="0.3">
      <c r="A48" s="745" t="s">
        <v>121</v>
      </c>
      <c r="B48" s="743"/>
      <c r="C48" s="744"/>
      <c r="F48" s="745" t="s">
        <v>121</v>
      </c>
      <c r="G48" s="743"/>
      <c r="H48" s="744"/>
      <c r="K48" s="745" t="s">
        <v>121</v>
      </c>
      <c r="L48" s="743"/>
      <c r="M48" s="744"/>
      <c r="P48" s="745" t="s">
        <v>121</v>
      </c>
      <c r="Q48" s="743"/>
      <c r="R48" s="744"/>
      <c r="U48" s="745" t="s">
        <v>121</v>
      </c>
      <c r="V48" s="743"/>
      <c r="W48" s="744"/>
    </row>
    <row r="49" spans="1:23" ht="14.25" customHeight="1" x14ac:dyDescent="0.3">
      <c r="A49" s="2" t="s">
        <v>123</v>
      </c>
      <c r="B49" s="2">
        <v>1</v>
      </c>
      <c r="C49" s="2" t="s">
        <v>25</v>
      </c>
      <c r="F49" s="2" t="s">
        <v>123</v>
      </c>
      <c r="G49" s="2">
        <v>1</v>
      </c>
      <c r="H49" s="2" t="s">
        <v>25</v>
      </c>
      <c r="K49" s="2" t="s">
        <v>123</v>
      </c>
      <c r="L49" s="2">
        <v>1</v>
      </c>
      <c r="M49" s="2" t="s">
        <v>25</v>
      </c>
      <c r="P49" s="2" t="s">
        <v>123</v>
      </c>
      <c r="Q49" s="2">
        <v>1</v>
      </c>
      <c r="R49" s="2" t="s">
        <v>25</v>
      </c>
      <c r="U49" s="2" t="s">
        <v>123</v>
      </c>
      <c r="V49" s="2">
        <v>0</v>
      </c>
      <c r="W49" s="2" t="s">
        <v>25</v>
      </c>
    </row>
    <row r="50" spans="1:23" ht="14.25" customHeight="1" x14ac:dyDescent="0.3">
      <c r="A50" s="2" t="s">
        <v>124</v>
      </c>
      <c r="B50" s="2">
        <v>1</v>
      </c>
      <c r="C50" s="2" t="s">
        <v>25</v>
      </c>
      <c r="F50" s="2" t="s">
        <v>124</v>
      </c>
      <c r="G50" s="2">
        <v>1</v>
      </c>
      <c r="H50" s="2" t="s">
        <v>25</v>
      </c>
      <c r="K50" s="2" t="s">
        <v>124</v>
      </c>
      <c r="L50" s="2">
        <v>1</v>
      </c>
      <c r="M50" s="2" t="s">
        <v>25</v>
      </c>
      <c r="P50" s="2" t="s">
        <v>124</v>
      </c>
      <c r="Q50" s="2">
        <v>1</v>
      </c>
      <c r="R50" s="2" t="s">
        <v>25</v>
      </c>
      <c r="U50" s="2" t="s">
        <v>124</v>
      </c>
      <c r="V50" s="2">
        <v>1</v>
      </c>
      <c r="W50" s="2" t="s">
        <v>25</v>
      </c>
    </row>
    <row r="51" spans="1:23" ht="14.25" customHeight="1" x14ac:dyDescent="0.3">
      <c r="A51" s="357" t="s">
        <v>745</v>
      </c>
      <c r="B51" s="2">
        <v>1</v>
      </c>
      <c r="C51" s="2" t="s">
        <v>25</v>
      </c>
      <c r="F51" s="357" t="s">
        <v>745</v>
      </c>
      <c r="G51" s="2">
        <v>1</v>
      </c>
      <c r="H51" s="2" t="s">
        <v>25</v>
      </c>
      <c r="K51" s="357" t="s">
        <v>745</v>
      </c>
      <c r="L51" s="2">
        <v>1</v>
      </c>
      <c r="M51" s="2" t="s">
        <v>25</v>
      </c>
      <c r="P51" s="357" t="s">
        <v>745</v>
      </c>
      <c r="Q51" s="2">
        <v>1</v>
      </c>
      <c r="R51" s="2" t="s">
        <v>25</v>
      </c>
      <c r="U51" s="357" t="s">
        <v>745</v>
      </c>
      <c r="V51" s="2">
        <v>1</v>
      </c>
      <c r="W51" s="2" t="s">
        <v>25</v>
      </c>
    </row>
    <row r="52" spans="1:23" ht="14.25" customHeight="1" x14ac:dyDescent="0.3">
      <c r="A52" s="2" t="s">
        <v>128</v>
      </c>
      <c r="B52" s="2">
        <v>2</v>
      </c>
      <c r="C52" s="2" t="s">
        <v>25</v>
      </c>
      <c r="F52" s="2" t="s">
        <v>128</v>
      </c>
      <c r="G52" s="2">
        <v>2</v>
      </c>
      <c r="H52" s="2" t="s">
        <v>25</v>
      </c>
      <c r="K52" s="2" t="s">
        <v>128</v>
      </c>
      <c r="L52" s="2">
        <v>3</v>
      </c>
      <c r="M52" s="2" t="s">
        <v>25</v>
      </c>
      <c r="P52" s="2" t="s">
        <v>128</v>
      </c>
      <c r="Q52" s="2">
        <v>2</v>
      </c>
      <c r="R52" s="2" t="s">
        <v>25</v>
      </c>
      <c r="U52" s="2" t="s">
        <v>128</v>
      </c>
      <c r="V52" s="2">
        <v>0</v>
      </c>
      <c r="W52" s="2" t="s">
        <v>25</v>
      </c>
    </row>
    <row r="53" spans="1:23" ht="14.25" customHeight="1" x14ac:dyDescent="0.3">
      <c r="A53" s="2" t="s">
        <v>129</v>
      </c>
      <c r="B53" s="2">
        <v>1</v>
      </c>
      <c r="C53" s="2" t="s">
        <v>25</v>
      </c>
      <c r="F53" s="2" t="s">
        <v>129</v>
      </c>
      <c r="G53" s="2">
        <v>0</v>
      </c>
      <c r="H53" s="2" t="s">
        <v>25</v>
      </c>
      <c r="K53" s="2" t="s">
        <v>129</v>
      </c>
      <c r="L53" s="2">
        <v>0</v>
      </c>
      <c r="M53" s="2" t="s">
        <v>25</v>
      </c>
      <c r="P53" s="2" t="s">
        <v>129</v>
      </c>
      <c r="Q53" s="2">
        <v>2</v>
      </c>
      <c r="R53" s="2" t="s">
        <v>25</v>
      </c>
      <c r="U53" s="2" t="s">
        <v>129</v>
      </c>
      <c r="V53" s="2">
        <v>1</v>
      </c>
      <c r="W53" s="2" t="s">
        <v>25</v>
      </c>
    </row>
    <row r="54" spans="1:23" ht="14.25" customHeight="1" x14ac:dyDescent="0.3">
      <c r="A54" s="2" t="s">
        <v>130</v>
      </c>
      <c r="B54" s="2">
        <v>3</v>
      </c>
      <c r="C54" s="2" t="s">
        <v>25</v>
      </c>
      <c r="F54" s="2" t="s">
        <v>130</v>
      </c>
      <c r="G54" s="2">
        <v>4</v>
      </c>
      <c r="H54" s="2" t="s">
        <v>25</v>
      </c>
      <c r="K54" s="2" t="s">
        <v>130</v>
      </c>
      <c r="L54" s="2">
        <v>3</v>
      </c>
      <c r="M54" s="2" t="s">
        <v>25</v>
      </c>
      <c r="P54" s="2" t="s">
        <v>130</v>
      </c>
      <c r="Q54" s="2">
        <v>4</v>
      </c>
      <c r="R54" s="2" t="s">
        <v>25</v>
      </c>
      <c r="U54" s="2" t="s">
        <v>130</v>
      </c>
      <c r="V54" s="2">
        <v>4</v>
      </c>
      <c r="W54" s="2" t="s">
        <v>25</v>
      </c>
    </row>
    <row r="55" spans="1:23" ht="14.25" customHeight="1" x14ac:dyDescent="0.3">
      <c r="A55" s="357" t="s">
        <v>746</v>
      </c>
      <c r="B55" s="2">
        <v>3</v>
      </c>
      <c r="C55" s="2" t="s">
        <v>25</v>
      </c>
      <c r="F55" s="357" t="s">
        <v>746</v>
      </c>
      <c r="G55" s="2">
        <v>4</v>
      </c>
      <c r="H55" s="2" t="s">
        <v>25</v>
      </c>
      <c r="K55" s="357" t="s">
        <v>746</v>
      </c>
      <c r="L55" s="2">
        <v>3</v>
      </c>
      <c r="M55" s="2" t="s">
        <v>25</v>
      </c>
      <c r="P55" s="357" t="s">
        <v>746</v>
      </c>
      <c r="Q55" s="2">
        <v>4</v>
      </c>
      <c r="R55" s="2" t="s">
        <v>25</v>
      </c>
      <c r="U55" s="357" t="s">
        <v>746</v>
      </c>
      <c r="V55" s="2">
        <v>4</v>
      </c>
      <c r="W55" s="2" t="s">
        <v>25</v>
      </c>
    </row>
    <row r="56" spans="1:23" ht="14.25" customHeight="1" x14ac:dyDescent="0.3">
      <c r="A56" s="2" t="s">
        <v>135</v>
      </c>
      <c r="B56" s="2">
        <v>2</v>
      </c>
      <c r="C56" s="2" t="s">
        <v>25</v>
      </c>
      <c r="F56" s="2" t="s">
        <v>135</v>
      </c>
      <c r="G56" s="2">
        <v>1</v>
      </c>
      <c r="H56" s="2" t="s">
        <v>25</v>
      </c>
      <c r="K56" s="2" t="s">
        <v>135</v>
      </c>
      <c r="L56" s="2">
        <v>2</v>
      </c>
      <c r="M56" s="2" t="s">
        <v>25</v>
      </c>
      <c r="P56" s="2" t="s">
        <v>135</v>
      </c>
      <c r="Q56" s="2">
        <v>3</v>
      </c>
      <c r="R56" s="2" t="s">
        <v>25</v>
      </c>
      <c r="U56" s="2" t="s">
        <v>135</v>
      </c>
      <c r="V56" s="2">
        <v>1</v>
      </c>
      <c r="W56" s="2" t="s">
        <v>25</v>
      </c>
    </row>
    <row r="57" spans="1:23" ht="14.25" customHeight="1" x14ac:dyDescent="0.3">
      <c r="A57" s="745" t="s">
        <v>137</v>
      </c>
      <c r="B57" s="743"/>
      <c r="C57" s="744"/>
      <c r="F57" s="745" t="s">
        <v>137</v>
      </c>
      <c r="G57" s="743"/>
      <c r="H57" s="744"/>
      <c r="K57" s="745" t="s">
        <v>137</v>
      </c>
      <c r="L57" s="743"/>
      <c r="M57" s="744"/>
      <c r="P57" s="745" t="s">
        <v>137</v>
      </c>
      <c r="Q57" s="743"/>
      <c r="R57" s="744"/>
      <c r="U57" s="745" t="s">
        <v>137</v>
      </c>
      <c r="V57" s="743"/>
      <c r="W57" s="744"/>
    </row>
    <row r="58" spans="1:23" ht="14.25" customHeight="1" x14ac:dyDescent="0.3">
      <c r="A58" s="2" t="s">
        <v>139</v>
      </c>
      <c r="B58" s="2">
        <f>B152</f>
        <v>45</v>
      </c>
      <c r="C58" s="2" t="s">
        <v>6</v>
      </c>
      <c r="F58" s="2" t="s">
        <v>139</v>
      </c>
      <c r="G58" s="2">
        <f>G152</f>
        <v>45</v>
      </c>
      <c r="H58" s="2" t="s">
        <v>6</v>
      </c>
      <c r="K58" s="2" t="s">
        <v>139</v>
      </c>
      <c r="L58" s="2">
        <f>L152</f>
        <v>60</v>
      </c>
      <c r="M58" s="2" t="s">
        <v>6</v>
      </c>
      <c r="P58" s="2" t="s">
        <v>139</v>
      </c>
      <c r="Q58" s="2">
        <f>Q152</f>
        <v>60</v>
      </c>
      <c r="R58" s="2" t="s">
        <v>6</v>
      </c>
      <c r="U58" s="2" t="s">
        <v>139</v>
      </c>
      <c r="V58" s="2">
        <f>V152</f>
        <v>30</v>
      </c>
      <c r="W58" s="2" t="s">
        <v>6</v>
      </c>
    </row>
    <row r="59" spans="1:23" ht="14.25" customHeight="1" x14ac:dyDescent="0.3">
      <c r="A59" s="2" t="s">
        <v>140</v>
      </c>
      <c r="B59" s="2">
        <f>B153</f>
        <v>40.28</v>
      </c>
      <c r="C59" s="2" t="s">
        <v>6</v>
      </c>
      <c r="F59" s="2" t="s">
        <v>140</v>
      </c>
      <c r="G59" s="2">
        <f>G153</f>
        <v>41.65</v>
      </c>
      <c r="H59" s="2" t="s">
        <v>6</v>
      </c>
      <c r="K59" s="2" t="s">
        <v>140</v>
      </c>
      <c r="L59" s="2">
        <f>L153</f>
        <v>55.3</v>
      </c>
      <c r="M59" s="2" t="s">
        <v>6</v>
      </c>
      <c r="P59" s="2" t="s">
        <v>140</v>
      </c>
      <c r="Q59" s="2">
        <f>Q153</f>
        <v>56.35</v>
      </c>
      <c r="R59" s="2" t="s">
        <v>6</v>
      </c>
      <c r="U59" s="2" t="s">
        <v>140</v>
      </c>
      <c r="V59" s="2">
        <f>V153</f>
        <v>28.01</v>
      </c>
      <c r="W59" s="2" t="s">
        <v>6</v>
      </c>
    </row>
    <row r="60" spans="1:23" ht="14.25" customHeight="1" x14ac:dyDescent="0.3">
      <c r="A60" s="2" t="s">
        <v>145</v>
      </c>
      <c r="B60" s="2">
        <v>5.75</v>
      </c>
      <c r="C60" s="2" t="s">
        <v>34</v>
      </c>
      <c r="F60" s="2" t="s">
        <v>145</v>
      </c>
      <c r="G60" s="2">
        <f>G154</f>
        <v>5.8310000000000004</v>
      </c>
      <c r="H60" s="2" t="s">
        <v>35</v>
      </c>
      <c r="K60" s="2" t="s">
        <v>145</v>
      </c>
      <c r="L60" s="168">
        <f>L154</f>
        <v>7.742</v>
      </c>
      <c r="M60" s="2" t="s">
        <v>35</v>
      </c>
      <c r="P60" s="2" t="s">
        <v>145</v>
      </c>
      <c r="Q60" s="2">
        <f>Q130</f>
        <v>8.4</v>
      </c>
      <c r="R60" s="2" t="s">
        <v>35</v>
      </c>
      <c r="U60" s="2" t="s">
        <v>145</v>
      </c>
      <c r="V60" s="168">
        <f>V154</f>
        <v>3.9214000000000007</v>
      </c>
      <c r="W60" s="2" t="s">
        <v>35</v>
      </c>
    </row>
    <row r="61" spans="1:23" ht="14.25" customHeight="1" x14ac:dyDescent="0.3">
      <c r="A61" s="2" t="s">
        <v>150</v>
      </c>
      <c r="B61" s="2">
        <v>4.72</v>
      </c>
      <c r="C61" s="2" t="s">
        <v>6</v>
      </c>
      <c r="F61" s="2" t="s">
        <v>150</v>
      </c>
      <c r="G61" s="164">
        <f>G155</f>
        <v>3.35</v>
      </c>
      <c r="H61" s="164" t="s">
        <v>6</v>
      </c>
      <c r="K61" s="164" t="s">
        <v>150</v>
      </c>
      <c r="L61" s="164">
        <f>L155</f>
        <v>4.7</v>
      </c>
      <c r="M61" s="164" t="s">
        <v>6</v>
      </c>
      <c r="P61" s="164" t="s">
        <v>150</v>
      </c>
      <c r="Q61" s="164">
        <f>Q155</f>
        <v>3.65</v>
      </c>
      <c r="R61" s="164" t="s">
        <v>6</v>
      </c>
      <c r="U61" s="164" t="s">
        <v>150</v>
      </c>
      <c r="V61" s="164">
        <f>V155</f>
        <v>1.99</v>
      </c>
      <c r="W61" s="164" t="s">
        <v>6</v>
      </c>
    </row>
    <row r="62" spans="1:23" ht="14.25" customHeight="1" x14ac:dyDescent="0.3">
      <c r="A62" s="2" t="s">
        <v>152</v>
      </c>
      <c r="B62" s="2">
        <v>13.74</v>
      </c>
      <c r="C62" s="2" t="s">
        <v>40</v>
      </c>
      <c r="F62" s="165" t="s">
        <v>152</v>
      </c>
      <c r="G62" s="167">
        <f>G156</f>
        <v>6.21</v>
      </c>
      <c r="H62" s="167" t="s">
        <v>40</v>
      </c>
      <c r="K62" s="167" t="s">
        <v>152</v>
      </c>
      <c r="L62" s="167">
        <f>L156</f>
        <v>10.85</v>
      </c>
      <c r="M62" s="167" t="s">
        <v>40</v>
      </c>
      <c r="P62" s="167" t="s">
        <v>152</v>
      </c>
      <c r="Q62" s="167">
        <f>Q156</f>
        <v>6.45</v>
      </c>
      <c r="R62" s="167" t="s">
        <v>40</v>
      </c>
      <c r="U62" s="167" t="s">
        <v>152</v>
      </c>
      <c r="V62" s="167">
        <f>V156</f>
        <v>4.32</v>
      </c>
      <c r="W62" s="167" t="s">
        <v>40</v>
      </c>
    </row>
    <row r="63" spans="1:23" ht="14.25" customHeight="1" x14ac:dyDescent="0.3">
      <c r="A63" s="745" t="s">
        <v>154</v>
      </c>
      <c r="B63" s="743"/>
      <c r="C63" s="744"/>
      <c r="F63" s="745" t="s">
        <v>154</v>
      </c>
      <c r="G63" s="746"/>
      <c r="H63" s="747"/>
      <c r="K63" s="748" t="s">
        <v>154</v>
      </c>
      <c r="L63" s="746"/>
      <c r="M63" s="747"/>
      <c r="P63" s="745" t="s">
        <v>154</v>
      </c>
      <c r="Q63" s="746"/>
      <c r="R63" s="747"/>
      <c r="U63" s="745" t="s">
        <v>154</v>
      </c>
      <c r="V63" s="746"/>
      <c r="W63" s="747"/>
    </row>
    <row r="64" spans="1:23" ht="14.25" customHeight="1" x14ac:dyDescent="0.3">
      <c r="A64" s="2" t="s">
        <v>156</v>
      </c>
      <c r="B64" s="2">
        <v>2</v>
      </c>
      <c r="C64" s="2" t="s">
        <v>25</v>
      </c>
      <c r="F64" s="2" t="s">
        <v>156</v>
      </c>
      <c r="G64" s="2">
        <v>1</v>
      </c>
      <c r="H64" s="2" t="s">
        <v>25</v>
      </c>
      <c r="K64" s="2" t="s">
        <v>156</v>
      </c>
      <c r="L64" s="2">
        <v>2</v>
      </c>
      <c r="M64" s="2" t="s">
        <v>25</v>
      </c>
      <c r="P64" s="2" t="s">
        <v>156</v>
      </c>
      <c r="Q64" s="2">
        <v>1</v>
      </c>
      <c r="R64" s="2" t="s">
        <v>25</v>
      </c>
      <c r="U64" s="2" t="s">
        <v>156</v>
      </c>
      <c r="V64" s="2">
        <v>1</v>
      </c>
      <c r="W64" s="2" t="s">
        <v>25</v>
      </c>
    </row>
    <row r="65" spans="1:23" ht="14.25" customHeight="1" x14ac:dyDescent="0.3">
      <c r="A65" s="2" t="s">
        <v>157</v>
      </c>
      <c r="B65" s="2">
        <v>1</v>
      </c>
      <c r="C65" s="2" t="s">
        <v>25</v>
      </c>
      <c r="F65" s="2" t="s">
        <v>157</v>
      </c>
      <c r="G65" s="2">
        <v>1</v>
      </c>
      <c r="H65" s="2" t="s">
        <v>25</v>
      </c>
      <c r="K65" s="2" t="s">
        <v>157</v>
      </c>
      <c r="L65" s="2">
        <v>1</v>
      </c>
      <c r="M65" s="2" t="s">
        <v>25</v>
      </c>
      <c r="P65" s="2" t="s">
        <v>157</v>
      </c>
      <c r="Q65" s="2">
        <v>1</v>
      </c>
      <c r="R65" s="2" t="s">
        <v>25</v>
      </c>
      <c r="U65" s="2" t="s">
        <v>157</v>
      </c>
      <c r="V65" s="2">
        <v>1</v>
      </c>
      <c r="W65" s="2" t="s">
        <v>25</v>
      </c>
    </row>
    <row r="66" spans="1:23" ht="14.25" customHeight="1" x14ac:dyDescent="0.3">
      <c r="A66" s="357" t="s">
        <v>579</v>
      </c>
      <c r="B66" s="2">
        <v>2</v>
      </c>
      <c r="C66" s="2" t="s">
        <v>25</v>
      </c>
      <c r="F66" s="357" t="s">
        <v>579</v>
      </c>
      <c r="G66" s="2">
        <v>1</v>
      </c>
      <c r="H66" s="2" t="s">
        <v>25</v>
      </c>
      <c r="K66" s="357" t="s">
        <v>579</v>
      </c>
      <c r="L66" s="2">
        <v>2</v>
      </c>
      <c r="M66" s="2" t="s">
        <v>25</v>
      </c>
      <c r="P66" s="357" t="s">
        <v>579</v>
      </c>
      <c r="Q66" s="2">
        <v>1</v>
      </c>
      <c r="R66" s="2" t="s">
        <v>25</v>
      </c>
      <c r="U66" s="357" t="s">
        <v>579</v>
      </c>
      <c r="V66" s="2">
        <v>1</v>
      </c>
      <c r="W66" s="2" t="s">
        <v>25</v>
      </c>
    </row>
    <row r="67" spans="1:23" ht="14.25" customHeight="1" x14ac:dyDescent="0.3">
      <c r="A67" s="2" t="s">
        <v>163</v>
      </c>
      <c r="B67" s="2">
        <v>2</v>
      </c>
      <c r="C67" s="2" t="s">
        <v>25</v>
      </c>
      <c r="F67" s="2" t="s">
        <v>163</v>
      </c>
      <c r="G67" s="2">
        <v>1</v>
      </c>
      <c r="H67" s="2" t="s">
        <v>25</v>
      </c>
      <c r="K67" s="2" t="s">
        <v>163</v>
      </c>
      <c r="L67" s="2">
        <v>2</v>
      </c>
      <c r="M67" s="2" t="s">
        <v>25</v>
      </c>
      <c r="P67" s="2" t="s">
        <v>163</v>
      </c>
      <c r="Q67" s="2">
        <v>1</v>
      </c>
      <c r="R67" s="2" t="s">
        <v>25</v>
      </c>
      <c r="U67" s="2" t="s">
        <v>163</v>
      </c>
      <c r="V67" s="2">
        <v>1</v>
      </c>
      <c r="W67" s="2" t="s">
        <v>25</v>
      </c>
    </row>
    <row r="68" spans="1:23" ht="14.25" customHeight="1" x14ac:dyDescent="0.3">
      <c r="A68" s="2" t="s">
        <v>165</v>
      </c>
      <c r="B68" s="2">
        <v>1</v>
      </c>
      <c r="C68" s="2" t="s">
        <v>25</v>
      </c>
      <c r="F68" s="2" t="s">
        <v>165</v>
      </c>
      <c r="G68" s="2">
        <v>1</v>
      </c>
      <c r="H68" s="2" t="s">
        <v>25</v>
      </c>
      <c r="K68" s="2" t="s">
        <v>165</v>
      </c>
      <c r="L68" s="2">
        <v>1</v>
      </c>
      <c r="M68" s="2" t="s">
        <v>25</v>
      </c>
      <c r="P68" s="2" t="s">
        <v>165</v>
      </c>
      <c r="Q68" s="2">
        <v>1</v>
      </c>
      <c r="R68" s="2" t="s">
        <v>25</v>
      </c>
      <c r="U68" s="2" t="s">
        <v>165</v>
      </c>
      <c r="V68" s="2">
        <v>1</v>
      </c>
      <c r="W68" s="2" t="s">
        <v>25</v>
      </c>
    </row>
    <row r="69" spans="1:23" ht="14.25" customHeight="1" x14ac:dyDescent="0.3">
      <c r="A69" s="357" t="s">
        <v>747</v>
      </c>
      <c r="B69" s="2">
        <v>2</v>
      </c>
      <c r="C69" s="2" t="s">
        <v>25</v>
      </c>
      <c r="F69" s="357" t="s">
        <v>747</v>
      </c>
      <c r="G69" s="2">
        <v>1</v>
      </c>
      <c r="H69" s="2" t="s">
        <v>25</v>
      </c>
      <c r="K69" s="357" t="s">
        <v>747</v>
      </c>
      <c r="L69" s="164">
        <v>1</v>
      </c>
      <c r="M69" s="164" t="s">
        <v>25</v>
      </c>
      <c r="P69" s="357" t="s">
        <v>747</v>
      </c>
      <c r="Q69" s="164">
        <v>1</v>
      </c>
      <c r="R69" s="164" t="s">
        <v>25</v>
      </c>
      <c r="U69" s="357" t="s">
        <v>747</v>
      </c>
      <c r="V69" s="2">
        <v>1</v>
      </c>
      <c r="W69" s="2" t="s">
        <v>25</v>
      </c>
    </row>
    <row r="70" spans="1:23" ht="14.25" customHeight="1" x14ac:dyDescent="0.3">
      <c r="A70" s="2" t="s">
        <v>169</v>
      </c>
      <c r="B70" s="2">
        <v>1</v>
      </c>
      <c r="C70" s="2" t="s">
        <v>25</v>
      </c>
      <c r="F70" s="2" t="s">
        <v>169</v>
      </c>
      <c r="G70" s="2">
        <v>1</v>
      </c>
      <c r="H70" s="2" t="s">
        <v>25</v>
      </c>
      <c r="K70" s="2" t="s">
        <v>169</v>
      </c>
      <c r="L70" s="167">
        <v>1</v>
      </c>
      <c r="M70" s="167" t="s">
        <v>25</v>
      </c>
      <c r="P70" s="2" t="s">
        <v>169</v>
      </c>
      <c r="Q70" s="167">
        <v>1</v>
      </c>
      <c r="R70" s="167" t="s">
        <v>25</v>
      </c>
      <c r="U70" s="2" t="s">
        <v>169</v>
      </c>
      <c r="V70" s="164">
        <v>1</v>
      </c>
      <c r="W70" s="164" t="s">
        <v>25</v>
      </c>
    </row>
    <row r="71" spans="1:23" ht="14.25" customHeight="1" x14ac:dyDescent="0.3">
      <c r="A71" s="2" t="s">
        <v>172</v>
      </c>
      <c r="B71" s="2">
        <v>3</v>
      </c>
      <c r="C71" s="2" t="s">
        <v>25</v>
      </c>
      <c r="F71" s="2" t="s">
        <v>172</v>
      </c>
      <c r="G71" s="2">
        <v>2</v>
      </c>
      <c r="H71" s="2" t="s">
        <v>25</v>
      </c>
      <c r="K71" s="2" t="s">
        <v>172</v>
      </c>
      <c r="L71" s="167">
        <v>3</v>
      </c>
      <c r="M71" s="167" t="s">
        <v>25</v>
      </c>
      <c r="P71" s="2" t="s">
        <v>172</v>
      </c>
      <c r="Q71" s="167">
        <v>2</v>
      </c>
      <c r="R71" s="167" t="s">
        <v>25</v>
      </c>
      <c r="U71" s="2" t="s">
        <v>172</v>
      </c>
      <c r="V71" s="167">
        <v>2</v>
      </c>
      <c r="W71" s="167" t="s">
        <v>25</v>
      </c>
    </row>
    <row r="72" spans="1:23" ht="14.25" customHeight="1" x14ac:dyDescent="0.3">
      <c r="A72" s="362" t="s">
        <v>751</v>
      </c>
      <c r="B72" s="2">
        <v>2</v>
      </c>
      <c r="C72" s="357" t="s">
        <v>25</v>
      </c>
      <c r="F72" s="362" t="s">
        <v>751</v>
      </c>
      <c r="G72" s="2">
        <v>1</v>
      </c>
      <c r="H72" s="357" t="s">
        <v>25</v>
      </c>
      <c r="K72" s="362" t="s">
        <v>751</v>
      </c>
      <c r="L72" s="167">
        <v>2</v>
      </c>
      <c r="M72" s="358" t="s">
        <v>25</v>
      </c>
      <c r="P72" s="362" t="s">
        <v>751</v>
      </c>
      <c r="Q72" s="169">
        <v>1</v>
      </c>
      <c r="R72" s="359" t="s">
        <v>25</v>
      </c>
      <c r="U72" s="362" t="s">
        <v>751</v>
      </c>
      <c r="V72" s="167">
        <v>1</v>
      </c>
      <c r="W72" s="358" t="s">
        <v>25</v>
      </c>
    </row>
    <row r="73" spans="1:23" ht="14.25" customHeight="1" x14ac:dyDescent="0.3">
      <c r="A73" s="2" t="s">
        <v>174</v>
      </c>
      <c r="B73" s="2">
        <v>2</v>
      </c>
      <c r="C73" s="2" t="s">
        <v>25</v>
      </c>
      <c r="F73" s="2" t="s">
        <v>174</v>
      </c>
      <c r="G73" s="2">
        <v>1</v>
      </c>
      <c r="H73" s="2" t="s">
        <v>25</v>
      </c>
      <c r="K73" s="2" t="s">
        <v>174</v>
      </c>
      <c r="L73" s="167">
        <v>2</v>
      </c>
      <c r="M73" s="167" t="s">
        <v>25</v>
      </c>
      <c r="P73" s="2" t="s">
        <v>174</v>
      </c>
      <c r="Q73" s="169">
        <v>1</v>
      </c>
      <c r="R73" s="169" t="s">
        <v>25</v>
      </c>
      <c r="U73" s="2" t="s">
        <v>174</v>
      </c>
      <c r="V73" s="167">
        <v>1</v>
      </c>
      <c r="W73" s="167" t="s">
        <v>25</v>
      </c>
    </row>
    <row r="74" spans="1:23" ht="14.25" customHeight="1" x14ac:dyDescent="0.3">
      <c r="A74" s="745" t="s">
        <v>175</v>
      </c>
      <c r="B74" s="743"/>
      <c r="C74" s="744"/>
      <c r="F74" s="745" t="s">
        <v>175</v>
      </c>
      <c r="G74" s="743"/>
      <c r="H74" s="744"/>
      <c r="K74" s="745" t="s">
        <v>175</v>
      </c>
      <c r="L74" s="746"/>
      <c r="M74" s="747"/>
      <c r="P74" s="745" t="s">
        <v>175</v>
      </c>
      <c r="Q74" s="746"/>
      <c r="R74" s="747"/>
      <c r="U74" s="748" t="s">
        <v>175</v>
      </c>
      <c r="V74" s="746"/>
      <c r="W74" s="747"/>
    </row>
    <row r="75" spans="1:23" ht="14.25" customHeight="1" x14ac:dyDescent="0.3">
      <c r="A75" s="2" t="s">
        <v>176</v>
      </c>
      <c r="B75" s="2">
        <v>1</v>
      </c>
      <c r="C75" s="2" t="s">
        <v>25</v>
      </c>
      <c r="F75" s="2" t="s">
        <v>176</v>
      </c>
      <c r="G75" s="2">
        <v>1</v>
      </c>
      <c r="H75" s="2" t="s">
        <v>25</v>
      </c>
      <c r="K75" s="2" t="s">
        <v>176</v>
      </c>
      <c r="L75" s="2">
        <v>1</v>
      </c>
      <c r="M75" s="2" t="s">
        <v>25</v>
      </c>
      <c r="P75" s="2" t="s">
        <v>176</v>
      </c>
      <c r="Q75" s="2">
        <v>1</v>
      </c>
      <c r="R75" s="2" t="s">
        <v>25</v>
      </c>
      <c r="U75" s="2" t="s">
        <v>176</v>
      </c>
      <c r="V75" s="2">
        <v>1</v>
      </c>
      <c r="W75" s="2" t="s">
        <v>25</v>
      </c>
    </row>
    <row r="76" spans="1:23" ht="14.25" customHeight="1" x14ac:dyDescent="0.3">
      <c r="A76" s="2" t="s">
        <v>177</v>
      </c>
      <c r="B76" s="2">
        <v>1</v>
      </c>
      <c r="C76" s="2" t="s">
        <v>25</v>
      </c>
      <c r="F76" s="2" t="s">
        <v>177</v>
      </c>
      <c r="G76" s="2">
        <v>1</v>
      </c>
      <c r="H76" s="2" t="s">
        <v>25</v>
      </c>
      <c r="K76" s="2" t="s">
        <v>177</v>
      </c>
      <c r="L76" s="2">
        <v>1</v>
      </c>
      <c r="M76" s="2" t="s">
        <v>25</v>
      </c>
      <c r="P76" s="2" t="s">
        <v>177</v>
      </c>
      <c r="Q76" s="2">
        <v>1</v>
      </c>
      <c r="R76" s="2" t="s">
        <v>25</v>
      </c>
      <c r="U76" s="2" t="s">
        <v>177</v>
      </c>
      <c r="V76" s="2">
        <v>1</v>
      </c>
      <c r="W76" s="2" t="s">
        <v>25</v>
      </c>
    </row>
    <row r="77" spans="1:23" ht="14.25" customHeight="1" x14ac:dyDescent="0.3">
      <c r="A77" s="2" t="s">
        <v>179</v>
      </c>
      <c r="B77" s="2">
        <v>1</v>
      </c>
      <c r="C77" s="2" t="s">
        <v>25</v>
      </c>
      <c r="F77" s="2" t="s">
        <v>179</v>
      </c>
      <c r="G77" s="2">
        <v>1</v>
      </c>
      <c r="H77" s="2" t="s">
        <v>25</v>
      </c>
      <c r="K77" s="2" t="s">
        <v>179</v>
      </c>
      <c r="L77" s="2">
        <v>1</v>
      </c>
      <c r="M77" s="2" t="s">
        <v>25</v>
      </c>
      <c r="P77" s="2" t="s">
        <v>179</v>
      </c>
      <c r="Q77" s="2">
        <v>1</v>
      </c>
      <c r="R77" s="2" t="s">
        <v>25</v>
      </c>
      <c r="U77" s="2" t="s">
        <v>179</v>
      </c>
      <c r="V77" s="2">
        <v>1</v>
      </c>
      <c r="W77" s="2" t="s">
        <v>25</v>
      </c>
    </row>
    <row r="78" spans="1:23" ht="14.25" customHeight="1" x14ac:dyDescent="0.3">
      <c r="A78" s="2" t="s">
        <v>180</v>
      </c>
      <c r="B78" s="2">
        <v>1</v>
      </c>
      <c r="C78" s="2" t="s">
        <v>25</v>
      </c>
      <c r="F78" s="2" t="s">
        <v>180</v>
      </c>
      <c r="G78" s="2">
        <v>1</v>
      </c>
      <c r="H78" s="2" t="s">
        <v>25</v>
      </c>
      <c r="K78" s="2" t="s">
        <v>180</v>
      </c>
      <c r="L78" s="2">
        <v>1</v>
      </c>
      <c r="M78" s="2" t="s">
        <v>25</v>
      </c>
      <c r="P78" s="2" t="s">
        <v>180</v>
      </c>
      <c r="Q78" s="2">
        <v>1</v>
      </c>
      <c r="R78" s="2" t="s">
        <v>25</v>
      </c>
      <c r="U78" s="2" t="s">
        <v>180</v>
      </c>
      <c r="V78" s="2">
        <v>1</v>
      </c>
      <c r="W78" s="2" t="s">
        <v>25</v>
      </c>
    </row>
    <row r="79" spans="1:23" ht="14.25" customHeight="1" x14ac:dyDescent="0.3">
      <c r="A79" s="357" t="s">
        <v>581</v>
      </c>
      <c r="B79" s="2">
        <v>0</v>
      </c>
      <c r="C79" s="357" t="s">
        <v>25</v>
      </c>
      <c r="F79" s="357" t="s">
        <v>581</v>
      </c>
      <c r="G79" s="164">
        <v>0</v>
      </c>
      <c r="H79" s="360" t="s">
        <v>25</v>
      </c>
      <c r="K79" s="357" t="s">
        <v>581</v>
      </c>
      <c r="L79" s="164">
        <v>1</v>
      </c>
      <c r="M79" s="360" t="s">
        <v>25</v>
      </c>
      <c r="P79" s="357" t="s">
        <v>581</v>
      </c>
      <c r="Q79" s="164">
        <v>1</v>
      </c>
      <c r="R79" s="360" t="s">
        <v>25</v>
      </c>
      <c r="U79" s="357" t="s">
        <v>581</v>
      </c>
      <c r="V79" s="164">
        <v>1</v>
      </c>
      <c r="W79" s="360" t="s">
        <v>25</v>
      </c>
    </row>
    <row r="80" spans="1:23" ht="14.25" customHeight="1" x14ac:dyDescent="0.3">
      <c r="A80" s="2" t="s">
        <v>163</v>
      </c>
      <c r="B80" s="2">
        <v>1</v>
      </c>
      <c r="C80" s="2" t="s">
        <v>25</v>
      </c>
      <c r="F80" s="164" t="s">
        <v>163</v>
      </c>
      <c r="G80" s="164">
        <v>1</v>
      </c>
      <c r="H80" s="164" t="s">
        <v>25</v>
      </c>
      <c r="K80" s="164" t="s">
        <v>163</v>
      </c>
      <c r="L80" s="164">
        <v>1</v>
      </c>
      <c r="M80" s="164" t="s">
        <v>25</v>
      </c>
      <c r="P80" s="164" t="s">
        <v>163</v>
      </c>
      <c r="Q80" s="164">
        <v>1</v>
      </c>
      <c r="R80" s="164" t="s">
        <v>25</v>
      </c>
      <c r="U80" s="164" t="s">
        <v>163</v>
      </c>
      <c r="V80" s="164">
        <v>1</v>
      </c>
      <c r="W80" s="164" t="s">
        <v>25</v>
      </c>
    </row>
    <row r="81" spans="1:23" ht="14.25" customHeight="1" x14ac:dyDescent="0.3">
      <c r="A81" s="2" t="s">
        <v>182</v>
      </c>
      <c r="B81" s="2">
        <v>1</v>
      </c>
      <c r="C81" s="2" t="s">
        <v>25</v>
      </c>
      <c r="F81" s="167" t="s">
        <v>182</v>
      </c>
      <c r="G81" s="167">
        <v>1</v>
      </c>
      <c r="H81" s="167" t="s">
        <v>337</v>
      </c>
      <c r="K81" s="167" t="s">
        <v>182</v>
      </c>
      <c r="L81" s="167">
        <v>1</v>
      </c>
      <c r="M81" s="167" t="s">
        <v>25</v>
      </c>
      <c r="P81" s="167" t="s">
        <v>182</v>
      </c>
      <c r="Q81" s="167">
        <v>1</v>
      </c>
      <c r="R81" s="167" t="s">
        <v>25</v>
      </c>
      <c r="U81" s="167" t="s">
        <v>182</v>
      </c>
      <c r="V81" s="167">
        <v>0</v>
      </c>
      <c r="W81" s="167" t="s">
        <v>25</v>
      </c>
    </row>
    <row r="82" spans="1:23" ht="14.25" customHeight="1" x14ac:dyDescent="0.3">
      <c r="A82" s="739" t="s">
        <v>748</v>
      </c>
      <c r="B82" s="740"/>
      <c r="C82" s="741"/>
      <c r="F82" s="739" t="s">
        <v>748</v>
      </c>
      <c r="G82" s="740"/>
      <c r="H82" s="741"/>
      <c r="K82" s="739" t="s">
        <v>748</v>
      </c>
      <c r="L82" s="740"/>
      <c r="M82" s="741"/>
      <c r="P82" s="739" t="s">
        <v>748</v>
      </c>
      <c r="Q82" s="740"/>
      <c r="R82" s="741"/>
      <c r="U82" s="739" t="s">
        <v>748</v>
      </c>
      <c r="V82" s="740"/>
      <c r="W82" s="741"/>
    </row>
    <row r="83" spans="1:23" ht="14.25" customHeight="1" x14ac:dyDescent="0.3">
      <c r="A83" s="358" t="s">
        <v>583</v>
      </c>
      <c r="B83" s="167">
        <v>1</v>
      </c>
      <c r="C83" s="358" t="s">
        <v>25</v>
      </c>
      <c r="F83" s="358" t="s">
        <v>583</v>
      </c>
      <c r="G83" s="167">
        <v>1</v>
      </c>
      <c r="H83" s="358" t="s">
        <v>25</v>
      </c>
      <c r="K83" s="358" t="s">
        <v>583</v>
      </c>
      <c r="L83" s="167">
        <v>1</v>
      </c>
      <c r="M83" s="358" t="s">
        <v>25</v>
      </c>
      <c r="P83" s="358" t="s">
        <v>583</v>
      </c>
      <c r="Q83" s="167">
        <v>0</v>
      </c>
      <c r="R83" s="358" t="s">
        <v>25</v>
      </c>
      <c r="U83" s="358" t="s">
        <v>583</v>
      </c>
      <c r="V83" s="167">
        <v>0</v>
      </c>
      <c r="W83" s="358" t="s">
        <v>25</v>
      </c>
    </row>
    <row r="84" spans="1:23" ht="14.25" customHeight="1" x14ac:dyDescent="0.3">
      <c r="A84" s="358" t="s">
        <v>584</v>
      </c>
      <c r="B84" s="167">
        <v>0</v>
      </c>
      <c r="C84" s="358" t="s">
        <v>25</v>
      </c>
      <c r="F84" s="358" t="s">
        <v>584</v>
      </c>
      <c r="G84" s="167">
        <v>0</v>
      </c>
      <c r="H84" s="358" t="s">
        <v>25</v>
      </c>
      <c r="K84" s="358" t="s">
        <v>584</v>
      </c>
      <c r="L84" s="167">
        <v>0</v>
      </c>
      <c r="M84" s="358" t="s">
        <v>25</v>
      </c>
      <c r="P84" s="358" t="s">
        <v>584</v>
      </c>
      <c r="Q84" s="167">
        <v>2</v>
      </c>
      <c r="R84" s="358" t="s">
        <v>25</v>
      </c>
      <c r="U84" s="358" t="s">
        <v>584</v>
      </c>
      <c r="V84" s="167">
        <v>0</v>
      </c>
      <c r="W84" s="358" t="s">
        <v>25</v>
      </c>
    </row>
    <row r="85" spans="1:23" ht="14.25" customHeight="1" x14ac:dyDescent="0.3">
      <c r="A85" s="358" t="s">
        <v>749</v>
      </c>
      <c r="B85" s="167">
        <v>1</v>
      </c>
      <c r="C85" s="358" t="s">
        <v>25</v>
      </c>
      <c r="F85" s="358" t="s">
        <v>749</v>
      </c>
      <c r="G85" s="167">
        <v>1</v>
      </c>
      <c r="H85" s="358" t="s">
        <v>25</v>
      </c>
      <c r="K85" s="358" t="s">
        <v>749</v>
      </c>
      <c r="L85" s="167">
        <v>1</v>
      </c>
      <c r="M85" s="358" t="s">
        <v>25</v>
      </c>
      <c r="P85" s="358" t="s">
        <v>749</v>
      </c>
      <c r="Q85" s="167">
        <v>0</v>
      </c>
      <c r="R85" s="358" t="s">
        <v>25</v>
      </c>
      <c r="U85" s="358" t="s">
        <v>749</v>
      </c>
      <c r="V85" s="167">
        <v>0</v>
      </c>
      <c r="W85" s="358" t="s">
        <v>25</v>
      </c>
    </row>
    <row r="86" spans="1:23" ht="14.25" customHeight="1" x14ac:dyDescent="0.3">
      <c r="A86" s="358" t="s">
        <v>586</v>
      </c>
      <c r="B86" s="167">
        <v>2</v>
      </c>
      <c r="C86" s="358" t="s">
        <v>25</v>
      </c>
      <c r="F86" s="358" t="s">
        <v>586</v>
      </c>
      <c r="G86" s="167">
        <v>2</v>
      </c>
      <c r="H86" s="358" t="s">
        <v>25</v>
      </c>
      <c r="K86" s="358" t="s">
        <v>586</v>
      </c>
      <c r="L86" s="167">
        <v>2</v>
      </c>
      <c r="M86" s="358" t="s">
        <v>25</v>
      </c>
      <c r="P86" s="358" t="s">
        <v>586</v>
      </c>
      <c r="Q86" s="167">
        <v>3</v>
      </c>
      <c r="R86" s="358" t="s">
        <v>25</v>
      </c>
      <c r="U86" s="358" t="s">
        <v>586</v>
      </c>
      <c r="V86" s="167">
        <v>0</v>
      </c>
      <c r="W86" s="358" t="s">
        <v>25</v>
      </c>
    </row>
    <row r="87" spans="1:23" ht="14.25" customHeight="1" x14ac:dyDescent="0.3">
      <c r="A87" s="748" t="s">
        <v>183</v>
      </c>
      <c r="B87" s="746"/>
      <c r="C87" s="747"/>
      <c r="F87" s="748" t="s">
        <v>183</v>
      </c>
      <c r="G87" s="746"/>
      <c r="H87" s="747"/>
      <c r="K87" s="745" t="s">
        <v>183</v>
      </c>
      <c r="L87" s="746"/>
      <c r="M87" s="747"/>
      <c r="P87" s="745" t="s">
        <v>183</v>
      </c>
      <c r="Q87" s="746"/>
      <c r="R87" s="747"/>
      <c r="U87" s="745" t="s">
        <v>183</v>
      </c>
      <c r="V87" s="746"/>
      <c r="W87" s="747"/>
    </row>
    <row r="88" spans="1:23" ht="14.25" customHeight="1" x14ac:dyDescent="0.3">
      <c r="A88" s="2" t="s">
        <v>185</v>
      </c>
      <c r="B88" s="2">
        <v>5.0999999999999996</v>
      </c>
      <c r="C88" s="2" t="s">
        <v>40</v>
      </c>
      <c r="F88" s="2" t="s">
        <v>185</v>
      </c>
      <c r="G88" s="2">
        <v>9.64</v>
      </c>
      <c r="H88" s="2" t="s">
        <v>40</v>
      </c>
      <c r="K88" s="2" t="s">
        <v>185</v>
      </c>
      <c r="L88" s="2">
        <v>15.73</v>
      </c>
      <c r="M88" s="2" t="s">
        <v>40</v>
      </c>
      <c r="P88" s="2" t="s">
        <v>185</v>
      </c>
      <c r="Q88" s="2">
        <v>8.07</v>
      </c>
      <c r="R88" s="2" t="s">
        <v>40</v>
      </c>
      <c r="U88" s="2" t="s">
        <v>185</v>
      </c>
      <c r="V88" s="2">
        <v>5.32</v>
      </c>
      <c r="W88" s="2" t="s">
        <v>40</v>
      </c>
    </row>
    <row r="89" spans="1:23" ht="14.25" customHeight="1" x14ac:dyDescent="0.3">
      <c r="A89" s="2" t="s">
        <v>186</v>
      </c>
      <c r="B89" s="2">
        <v>3</v>
      </c>
      <c r="C89" s="2" t="s">
        <v>40</v>
      </c>
      <c r="F89" s="2" t="s">
        <v>186</v>
      </c>
      <c r="G89" s="2">
        <v>1.5</v>
      </c>
      <c r="H89" s="2" t="s">
        <v>40</v>
      </c>
      <c r="K89" s="2" t="s">
        <v>186</v>
      </c>
      <c r="L89" s="2">
        <v>3</v>
      </c>
      <c r="M89" s="2" t="s">
        <v>40</v>
      </c>
      <c r="P89" s="2" t="s">
        <v>186</v>
      </c>
      <c r="Q89" s="2">
        <v>1.5</v>
      </c>
      <c r="R89" s="2" t="s">
        <v>40</v>
      </c>
      <c r="U89" s="2" t="s">
        <v>186</v>
      </c>
      <c r="V89" s="2">
        <v>1.5</v>
      </c>
      <c r="W89" s="2" t="s">
        <v>40</v>
      </c>
    </row>
    <row r="90" spans="1:23" ht="14.25" customHeight="1" x14ac:dyDescent="0.3">
      <c r="A90" s="745" t="s">
        <v>187</v>
      </c>
      <c r="B90" s="743"/>
      <c r="C90" s="744"/>
      <c r="F90" s="745" t="s">
        <v>187</v>
      </c>
      <c r="G90" s="743"/>
      <c r="H90" s="744"/>
      <c r="K90" s="745" t="s">
        <v>187</v>
      </c>
      <c r="L90" s="743"/>
      <c r="M90" s="744"/>
      <c r="P90" s="745" t="s">
        <v>187</v>
      </c>
      <c r="Q90" s="743"/>
      <c r="R90" s="744"/>
      <c r="U90" s="745" t="s">
        <v>187</v>
      </c>
      <c r="V90" s="743"/>
      <c r="W90" s="744"/>
    </row>
    <row r="91" spans="1:23" ht="14.25" customHeight="1" x14ac:dyDescent="0.3">
      <c r="A91" s="2" t="s">
        <v>188</v>
      </c>
      <c r="B91" s="2">
        <v>2</v>
      </c>
      <c r="C91" s="2" t="s">
        <v>25</v>
      </c>
      <c r="F91" s="2" t="s">
        <v>188</v>
      </c>
      <c r="G91" s="2">
        <v>2</v>
      </c>
      <c r="H91" s="2" t="s">
        <v>25</v>
      </c>
      <c r="K91" s="2" t="s">
        <v>188</v>
      </c>
      <c r="L91" s="2">
        <v>2</v>
      </c>
      <c r="M91" s="2" t="s">
        <v>25</v>
      </c>
      <c r="P91" s="2" t="s">
        <v>188</v>
      </c>
      <c r="Q91" s="2">
        <v>3</v>
      </c>
      <c r="R91" s="2" t="s">
        <v>25</v>
      </c>
      <c r="U91" s="2" t="s">
        <v>188</v>
      </c>
      <c r="V91" s="2">
        <v>1</v>
      </c>
      <c r="W91" s="2" t="s">
        <v>25</v>
      </c>
    </row>
    <row r="92" spans="1:23" ht="14.25" customHeight="1" x14ac:dyDescent="0.3">
      <c r="A92" s="745" t="s">
        <v>189</v>
      </c>
      <c r="B92" s="743"/>
      <c r="C92" s="744"/>
      <c r="F92" s="745" t="s">
        <v>189</v>
      </c>
      <c r="G92" s="743"/>
      <c r="H92" s="744"/>
      <c r="K92" s="745" t="s">
        <v>189</v>
      </c>
      <c r="L92" s="743"/>
      <c r="M92" s="744"/>
      <c r="P92" s="745" t="s">
        <v>189</v>
      </c>
      <c r="Q92" s="743"/>
      <c r="R92" s="744"/>
      <c r="U92" s="745" t="s">
        <v>189</v>
      </c>
      <c r="V92" s="743"/>
      <c r="W92" s="744"/>
    </row>
    <row r="93" spans="1:23" ht="14.25" customHeight="1" x14ac:dyDescent="0.3">
      <c r="A93" s="2" t="s">
        <v>190</v>
      </c>
      <c r="B93" s="2">
        <v>1</v>
      </c>
      <c r="C93" s="2" t="s">
        <v>25</v>
      </c>
      <c r="F93" s="2" t="s">
        <v>190</v>
      </c>
      <c r="G93" s="2">
        <v>1</v>
      </c>
      <c r="H93" s="2" t="s">
        <v>25</v>
      </c>
      <c r="K93" s="2" t="s">
        <v>190</v>
      </c>
      <c r="L93" s="2">
        <v>1</v>
      </c>
      <c r="M93" s="2" t="s">
        <v>25</v>
      </c>
      <c r="P93" s="2" t="s">
        <v>190</v>
      </c>
      <c r="Q93" s="2">
        <v>1</v>
      </c>
      <c r="R93" s="2" t="s">
        <v>25</v>
      </c>
      <c r="U93" s="2" t="s">
        <v>190</v>
      </c>
      <c r="V93" s="164">
        <v>1</v>
      </c>
      <c r="W93" s="164" t="s">
        <v>25</v>
      </c>
    </row>
    <row r="94" spans="1:23" ht="14.25" customHeight="1" x14ac:dyDescent="0.3">
      <c r="A94" s="2" t="s">
        <v>191</v>
      </c>
      <c r="B94" s="2">
        <v>1</v>
      </c>
      <c r="C94" s="2" t="s">
        <v>25</v>
      </c>
      <c r="F94" s="2" t="s">
        <v>191</v>
      </c>
      <c r="G94" s="2">
        <v>1</v>
      </c>
      <c r="H94" s="2" t="s">
        <v>25</v>
      </c>
      <c r="K94" s="2" t="s">
        <v>191</v>
      </c>
      <c r="L94" s="2">
        <v>1</v>
      </c>
      <c r="M94" s="2" t="s">
        <v>25</v>
      </c>
      <c r="P94" s="2" t="s">
        <v>191</v>
      </c>
      <c r="Q94" s="2">
        <v>1</v>
      </c>
      <c r="R94" s="2" t="s">
        <v>25</v>
      </c>
      <c r="U94" s="165" t="s">
        <v>191</v>
      </c>
      <c r="V94" s="167">
        <v>0</v>
      </c>
      <c r="W94" s="278"/>
    </row>
    <row r="95" spans="1:23" ht="14.25" customHeight="1" x14ac:dyDescent="0.3">
      <c r="A95" s="745" t="s">
        <v>192</v>
      </c>
      <c r="B95" s="743"/>
      <c r="C95" s="744"/>
      <c r="F95" s="745" t="s">
        <v>192</v>
      </c>
      <c r="G95" s="743"/>
      <c r="H95" s="744"/>
      <c r="K95" s="745" t="s">
        <v>192</v>
      </c>
      <c r="L95" s="743"/>
      <c r="M95" s="744"/>
      <c r="P95" s="745" t="s">
        <v>192</v>
      </c>
      <c r="Q95" s="743"/>
      <c r="R95" s="744"/>
      <c r="U95" s="748" t="s">
        <v>192</v>
      </c>
      <c r="V95" s="746"/>
      <c r="W95" s="747"/>
    </row>
    <row r="96" spans="1:23" ht="14.25" customHeight="1" x14ac:dyDescent="0.3">
      <c r="A96" s="2" t="s">
        <v>195</v>
      </c>
      <c r="B96" s="2">
        <v>1</v>
      </c>
      <c r="C96" s="2" t="s">
        <v>25</v>
      </c>
      <c r="F96" s="2" t="s">
        <v>195</v>
      </c>
      <c r="G96" s="2">
        <v>1</v>
      </c>
      <c r="H96" s="2" t="s">
        <v>25</v>
      </c>
      <c r="K96" s="2" t="s">
        <v>195</v>
      </c>
      <c r="L96" s="2">
        <v>1</v>
      </c>
      <c r="M96" s="2" t="s">
        <v>25</v>
      </c>
      <c r="P96" s="2" t="s">
        <v>195</v>
      </c>
      <c r="Q96" s="2">
        <v>1</v>
      </c>
      <c r="R96" s="2" t="s">
        <v>25</v>
      </c>
      <c r="U96" s="2" t="s">
        <v>194</v>
      </c>
      <c r="V96" s="2"/>
      <c r="W96" s="2" t="s">
        <v>25</v>
      </c>
    </row>
    <row r="97" spans="1:23" ht="14.25" customHeight="1" x14ac:dyDescent="0.3">
      <c r="A97" s="2" t="s">
        <v>197</v>
      </c>
      <c r="B97" s="2">
        <v>1</v>
      </c>
      <c r="C97" s="2" t="s">
        <v>25</v>
      </c>
      <c r="F97" s="2" t="s">
        <v>197</v>
      </c>
      <c r="G97" s="2">
        <v>1</v>
      </c>
      <c r="H97" s="2" t="s">
        <v>25</v>
      </c>
      <c r="K97" s="2" t="s">
        <v>197</v>
      </c>
      <c r="L97" s="2">
        <v>1</v>
      </c>
      <c r="M97" s="2" t="s">
        <v>25</v>
      </c>
      <c r="P97" s="2" t="s">
        <v>197</v>
      </c>
      <c r="Q97" s="2">
        <v>1</v>
      </c>
      <c r="R97" s="2" t="s">
        <v>25</v>
      </c>
      <c r="U97" s="2" t="s">
        <v>196</v>
      </c>
      <c r="V97" s="2"/>
      <c r="W97" s="2" t="s">
        <v>25</v>
      </c>
    </row>
    <row r="98" spans="1:23" ht="14.25" customHeight="1" x14ac:dyDescent="0.3">
      <c r="A98" s="2" t="s">
        <v>200</v>
      </c>
      <c r="B98" s="2">
        <v>1</v>
      </c>
      <c r="C98" s="2" t="s">
        <v>25</v>
      </c>
      <c r="F98" s="2" t="s">
        <v>200</v>
      </c>
      <c r="G98" s="2">
        <v>1</v>
      </c>
      <c r="H98" s="2" t="s">
        <v>25</v>
      </c>
      <c r="K98" s="2" t="s">
        <v>200</v>
      </c>
      <c r="L98" s="2">
        <v>1</v>
      </c>
      <c r="M98" s="2" t="s">
        <v>25</v>
      </c>
      <c r="P98" s="2" t="s">
        <v>200</v>
      </c>
      <c r="Q98" s="2">
        <v>1</v>
      </c>
      <c r="R98" s="2" t="s">
        <v>25</v>
      </c>
      <c r="U98" s="2" t="s">
        <v>199</v>
      </c>
      <c r="V98" s="2"/>
      <c r="W98" s="2" t="s">
        <v>25</v>
      </c>
    </row>
    <row r="99" spans="1:23" ht="14.25" customHeight="1" x14ac:dyDescent="0.3">
      <c r="A99" s="2" t="s">
        <v>203</v>
      </c>
      <c r="B99" s="2">
        <v>1</v>
      </c>
      <c r="C99" s="2" t="s">
        <v>25</v>
      </c>
      <c r="F99" s="2" t="s">
        <v>203</v>
      </c>
      <c r="G99" s="2">
        <v>1</v>
      </c>
      <c r="H99" s="2" t="s">
        <v>25</v>
      </c>
      <c r="K99" s="2" t="s">
        <v>203</v>
      </c>
      <c r="L99" s="2">
        <v>1</v>
      </c>
      <c r="M99" s="2" t="s">
        <v>25</v>
      </c>
      <c r="P99" s="2" t="s">
        <v>203</v>
      </c>
      <c r="Q99" s="2">
        <v>1</v>
      </c>
      <c r="R99" s="2" t="s">
        <v>25</v>
      </c>
      <c r="U99" s="2" t="s">
        <v>201</v>
      </c>
      <c r="V99" s="2"/>
      <c r="W99" s="2" t="s">
        <v>25</v>
      </c>
    </row>
    <row r="100" spans="1:23" ht="14.25" customHeight="1" x14ac:dyDescent="0.3">
      <c r="A100" s="2" t="s">
        <v>205</v>
      </c>
      <c r="B100" s="2">
        <v>1</v>
      </c>
      <c r="C100" s="2" t="s">
        <v>25</v>
      </c>
      <c r="F100" s="2" t="s">
        <v>205</v>
      </c>
      <c r="G100" s="2">
        <v>1</v>
      </c>
      <c r="H100" s="2" t="s">
        <v>25</v>
      </c>
      <c r="K100" s="2" t="s">
        <v>205</v>
      </c>
      <c r="L100" s="2">
        <v>1</v>
      </c>
      <c r="M100" s="2" t="s">
        <v>25</v>
      </c>
      <c r="P100" s="2" t="s">
        <v>205</v>
      </c>
      <c r="Q100" s="2">
        <v>1</v>
      </c>
      <c r="R100" s="2" t="s">
        <v>25</v>
      </c>
      <c r="U100" s="2" t="s">
        <v>204</v>
      </c>
      <c r="V100" s="2"/>
      <c r="W100" s="2" t="s">
        <v>25</v>
      </c>
    </row>
    <row r="101" spans="1:23" ht="14.25" customHeight="1" x14ac:dyDescent="0.3">
      <c r="A101" s="2" t="s">
        <v>209</v>
      </c>
      <c r="B101" s="2">
        <v>1</v>
      </c>
      <c r="C101" s="2" t="s">
        <v>25</v>
      </c>
      <c r="F101" s="2" t="s">
        <v>209</v>
      </c>
      <c r="G101" s="2">
        <v>1</v>
      </c>
      <c r="H101" s="2" t="s">
        <v>25</v>
      </c>
      <c r="K101" s="2" t="s">
        <v>209</v>
      </c>
      <c r="L101" s="2">
        <v>1</v>
      </c>
      <c r="M101" s="2" t="s">
        <v>25</v>
      </c>
      <c r="P101" s="2" t="s">
        <v>209</v>
      </c>
      <c r="Q101" s="2">
        <v>1</v>
      </c>
      <c r="R101" s="2" t="s">
        <v>25</v>
      </c>
      <c r="U101" s="2" t="s">
        <v>207</v>
      </c>
      <c r="V101" s="2"/>
      <c r="W101" s="2" t="s">
        <v>25</v>
      </c>
    </row>
    <row r="102" spans="1:23" ht="14.25" customHeight="1" x14ac:dyDescent="0.3">
      <c r="A102" s="94"/>
    </row>
    <row r="103" spans="1:23" ht="14.25" customHeight="1" x14ac:dyDescent="0.25"/>
    <row r="104" spans="1:23" ht="14.25" customHeight="1" x14ac:dyDescent="0.3">
      <c r="A104" s="114" t="s">
        <v>213</v>
      </c>
      <c r="B104" s="114" t="s">
        <v>20</v>
      </c>
      <c r="C104" s="114" t="s">
        <v>21</v>
      </c>
      <c r="F104" s="114" t="s">
        <v>214</v>
      </c>
      <c r="G104" s="114" t="s">
        <v>20</v>
      </c>
      <c r="H104" s="114" t="s">
        <v>21</v>
      </c>
      <c r="K104" s="114" t="s">
        <v>215</v>
      </c>
      <c r="L104" s="114" t="s">
        <v>20</v>
      </c>
      <c r="M104" s="114" t="s">
        <v>21</v>
      </c>
      <c r="P104" s="114" t="s">
        <v>216</v>
      </c>
      <c r="Q104" s="114" t="s">
        <v>20</v>
      </c>
      <c r="R104" s="114" t="s">
        <v>21</v>
      </c>
      <c r="U104" s="114" t="s">
        <v>218</v>
      </c>
      <c r="V104" s="114" t="s">
        <v>20</v>
      </c>
      <c r="W104" s="114" t="s">
        <v>21</v>
      </c>
    </row>
    <row r="105" spans="1:23" ht="14.25" customHeight="1" x14ac:dyDescent="0.3">
      <c r="A105" s="117" t="s">
        <v>219</v>
      </c>
      <c r="B105" s="117">
        <v>16.579999999999998</v>
      </c>
      <c r="C105" s="117" t="s">
        <v>6</v>
      </c>
      <c r="F105" s="117" t="s">
        <v>219</v>
      </c>
      <c r="G105" s="117">
        <v>25.3</v>
      </c>
      <c r="H105" s="117" t="s">
        <v>6</v>
      </c>
      <c r="K105" s="117" t="s">
        <v>219</v>
      </c>
      <c r="L105" s="117">
        <v>27.87</v>
      </c>
      <c r="M105" s="117" t="s">
        <v>6</v>
      </c>
      <c r="P105" s="117" t="s">
        <v>219</v>
      </c>
      <c r="Q105" s="172">
        <v>23.09</v>
      </c>
      <c r="R105" s="117" t="s">
        <v>6</v>
      </c>
      <c r="U105" s="117" t="s">
        <v>219</v>
      </c>
      <c r="V105" s="117">
        <v>5.34</v>
      </c>
      <c r="W105" s="117" t="s">
        <v>6</v>
      </c>
    </row>
    <row r="106" spans="1:23" ht="14.25" customHeight="1" x14ac:dyDescent="0.3">
      <c r="A106" s="357" t="s">
        <v>566</v>
      </c>
      <c r="B106" s="2">
        <f t="shared" ref="B106:B112" si="5">B167*$B$105</f>
        <v>16.579999999999998</v>
      </c>
      <c r="C106" s="2" t="s">
        <v>40</v>
      </c>
      <c r="F106" s="357" t="s">
        <v>566</v>
      </c>
      <c r="G106" s="2">
        <f t="shared" ref="G106:G112" si="6">B167*$G$105</f>
        <v>25.3</v>
      </c>
      <c r="H106" s="2" t="s">
        <v>40</v>
      </c>
      <c r="K106" s="357" t="s">
        <v>566</v>
      </c>
      <c r="L106" s="2">
        <f t="shared" ref="L106:L112" si="7">B167*$L$105</f>
        <v>27.87</v>
      </c>
      <c r="M106" s="2" t="s">
        <v>40</v>
      </c>
      <c r="P106" s="357" t="s">
        <v>566</v>
      </c>
      <c r="Q106" s="2">
        <f t="shared" ref="Q106:Q112" si="8">B167*$Q$105</f>
        <v>23.09</v>
      </c>
      <c r="R106" s="2" t="s">
        <v>40</v>
      </c>
      <c r="U106" s="357" t="s">
        <v>566</v>
      </c>
      <c r="V106" s="2">
        <f t="shared" ref="V106:V112" si="9">B167*$V$105</f>
        <v>5.34</v>
      </c>
      <c r="W106" s="2" t="s">
        <v>40</v>
      </c>
    </row>
    <row r="107" spans="1:23" ht="14.25" customHeight="1" x14ac:dyDescent="0.3">
      <c r="A107" s="357" t="s">
        <v>567</v>
      </c>
      <c r="B107" s="2">
        <f t="shared" si="5"/>
        <v>41.449999999999996</v>
      </c>
      <c r="C107" s="2" t="s">
        <v>40</v>
      </c>
      <c r="F107" s="357" t="s">
        <v>567</v>
      </c>
      <c r="G107" s="2">
        <f t="shared" si="6"/>
        <v>63.25</v>
      </c>
      <c r="H107" s="2" t="s">
        <v>40</v>
      </c>
      <c r="K107" s="357" t="s">
        <v>567</v>
      </c>
      <c r="L107" s="168">
        <f t="shared" si="7"/>
        <v>69.674999999999997</v>
      </c>
      <c r="M107" s="2" t="s">
        <v>40</v>
      </c>
      <c r="P107" s="357" t="s">
        <v>567</v>
      </c>
      <c r="Q107" s="2">
        <f t="shared" si="8"/>
        <v>57.725000000000001</v>
      </c>
      <c r="R107" s="2" t="s">
        <v>40</v>
      </c>
      <c r="U107" s="357" t="s">
        <v>567</v>
      </c>
      <c r="V107" s="2">
        <f t="shared" si="9"/>
        <v>13.35</v>
      </c>
      <c r="W107" s="2" t="s">
        <v>40</v>
      </c>
    </row>
    <row r="108" spans="1:23" ht="14.25" customHeight="1" x14ac:dyDescent="0.3">
      <c r="A108" s="2" t="s">
        <v>44</v>
      </c>
      <c r="B108" s="171">
        <f t="shared" si="5"/>
        <v>132.63999999999999</v>
      </c>
      <c r="C108" s="2" t="s">
        <v>25</v>
      </c>
      <c r="F108" s="2" t="s">
        <v>44</v>
      </c>
      <c r="G108" s="171">
        <f t="shared" si="6"/>
        <v>202.4</v>
      </c>
      <c r="H108" s="2" t="s">
        <v>25</v>
      </c>
      <c r="K108" s="2" t="s">
        <v>44</v>
      </c>
      <c r="L108" s="2">
        <f t="shared" si="7"/>
        <v>222.96</v>
      </c>
      <c r="M108" s="2" t="s">
        <v>25</v>
      </c>
      <c r="P108" s="2" t="s">
        <v>44</v>
      </c>
      <c r="Q108" s="2">
        <f t="shared" si="8"/>
        <v>184.72</v>
      </c>
      <c r="R108" s="2" t="s">
        <v>25</v>
      </c>
      <c r="U108" s="2" t="s">
        <v>44</v>
      </c>
      <c r="V108" s="2">
        <f t="shared" si="9"/>
        <v>42.72</v>
      </c>
      <c r="W108" s="2" t="s">
        <v>25</v>
      </c>
    </row>
    <row r="109" spans="1:23" ht="14.25" customHeight="1" x14ac:dyDescent="0.3">
      <c r="A109" s="2" t="s">
        <v>45</v>
      </c>
      <c r="B109" s="171">
        <f t="shared" si="5"/>
        <v>431.07999999999993</v>
      </c>
      <c r="C109" s="2" t="s">
        <v>25</v>
      </c>
      <c r="F109" s="2" t="s">
        <v>45</v>
      </c>
      <c r="G109" s="171">
        <f t="shared" si="6"/>
        <v>657.80000000000007</v>
      </c>
      <c r="H109" s="2" t="s">
        <v>25</v>
      </c>
      <c r="K109" s="2" t="s">
        <v>45</v>
      </c>
      <c r="L109" s="2">
        <f t="shared" si="7"/>
        <v>724.62</v>
      </c>
      <c r="M109" s="2" t="s">
        <v>25</v>
      </c>
      <c r="P109" s="2" t="s">
        <v>45</v>
      </c>
      <c r="Q109" s="2">
        <f t="shared" si="8"/>
        <v>600.34</v>
      </c>
      <c r="R109" s="2" t="s">
        <v>25</v>
      </c>
      <c r="U109" s="2" t="s">
        <v>45</v>
      </c>
      <c r="V109" s="2">
        <f t="shared" si="9"/>
        <v>138.84</v>
      </c>
      <c r="W109" s="2" t="s">
        <v>25</v>
      </c>
    </row>
    <row r="110" spans="1:23" ht="14.25" customHeight="1" x14ac:dyDescent="0.3">
      <c r="A110" s="2" t="s">
        <v>233</v>
      </c>
      <c r="B110" s="168">
        <f t="shared" si="5"/>
        <v>54.713999999999992</v>
      </c>
      <c r="C110" s="2" t="s">
        <v>40</v>
      </c>
      <c r="F110" s="2" t="s">
        <v>233</v>
      </c>
      <c r="G110" s="2">
        <f t="shared" si="6"/>
        <v>83.49</v>
      </c>
      <c r="H110" s="2" t="s">
        <v>40</v>
      </c>
      <c r="K110" s="2" t="s">
        <v>233</v>
      </c>
      <c r="L110" s="2">
        <f t="shared" si="7"/>
        <v>91.971000000000004</v>
      </c>
      <c r="M110" s="2" t="s">
        <v>40</v>
      </c>
      <c r="P110" s="2" t="s">
        <v>233</v>
      </c>
      <c r="Q110" s="2">
        <f t="shared" si="8"/>
        <v>76.196999999999989</v>
      </c>
      <c r="R110" s="2" t="s">
        <v>40</v>
      </c>
      <c r="U110" s="2" t="s">
        <v>233</v>
      </c>
      <c r="V110" s="168">
        <f t="shared" si="9"/>
        <v>17.622</v>
      </c>
      <c r="W110" s="2" t="s">
        <v>40</v>
      </c>
    </row>
    <row r="111" spans="1:23" ht="14.25" customHeight="1" x14ac:dyDescent="0.3">
      <c r="A111" s="2" t="s">
        <v>43</v>
      </c>
      <c r="B111" s="168">
        <f t="shared" si="5"/>
        <v>1.8237999999999999</v>
      </c>
      <c r="C111" s="2" t="s">
        <v>34</v>
      </c>
      <c r="F111" s="2" t="s">
        <v>43</v>
      </c>
      <c r="G111" s="2">
        <f t="shared" si="6"/>
        <v>2.7829999999999999</v>
      </c>
      <c r="H111" s="2" t="s">
        <v>34</v>
      </c>
      <c r="K111" s="2" t="s">
        <v>43</v>
      </c>
      <c r="L111" s="168">
        <f t="shared" si="7"/>
        <v>3.0657000000000001</v>
      </c>
      <c r="M111" s="2" t="s">
        <v>34</v>
      </c>
      <c r="P111" s="2" t="s">
        <v>43</v>
      </c>
      <c r="Q111" s="2">
        <f t="shared" si="8"/>
        <v>2.5398999999999998</v>
      </c>
      <c r="R111" s="2" t="s">
        <v>34</v>
      </c>
      <c r="U111" s="2" t="s">
        <v>43</v>
      </c>
      <c r="V111" s="168">
        <f t="shared" si="9"/>
        <v>0.58740000000000003</v>
      </c>
      <c r="W111" s="2" t="s">
        <v>34</v>
      </c>
    </row>
    <row r="112" spans="1:23" ht="14.25" customHeight="1" x14ac:dyDescent="0.3">
      <c r="A112" s="2" t="s">
        <v>236</v>
      </c>
      <c r="B112" s="168">
        <f t="shared" si="5"/>
        <v>33.98899999999999</v>
      </c>
      <c r="C112" s="2" t="s">
        <v>6</v>
      </c>
      <c r="F112" s="2" t="s">
        <v>236</v>
      </c>
      <c r="G112" s="168">
        <f t="shared" si="6"/>
        <v>51.864999999999995</v>
      </c>
      <c r="H112" s="2" t="s">
        <v>6</v>
      </c>
      <c r="K112" s="2" t="s">
        <v>236</v>
      </c>
      <c r="L112" s="168">
        <f t="shared" si="7"/>
        <v>57.133499999999998</v>
      </c>
      <c r="M112" s="2" t="s">
        <v>6</v>
      </c>
      <c r="P112" s="2" t="s">
        <v>236</v>
      </c>
      <c r="Q112" s="2">
        <f t="shared" si="8"/>
        <v>47.334499999999998</v>
      </c>
      <c r="R112" s="2" t="s">
        <v>6</v>
      </c>
      <c r="U112" s="2" t="s">
        <v>236</v>
      </c>
      <c r="V112" s="168">
        <f t="shared" si="9"/>
        <v>10.946999999999999</v>
      </c>
      <c r="W112" s="2" t="s">
        <v>6</v>
      </c>
    </row>
    <row r="113" spans="1:23" ht="14.25" customHeight="1" x14ac:dyDescent="0.3">
      <c r="A113" s="117" t="s">
        <v>239</v>
      </c>
      <c r="B113" s="117">
        <v>99.1</v>
      </c>
      <c r="C113" s="117" t="s">
        <v>6</v>
      </c>
      <c r="F113" s="117" t="s">
        <v>239</v>
      </c>
      <c r="G113" s="117">
        <v>83.81</v>
      </c>
      <c r="H113" s="117" t="s">
        <v>6</v>
      </c>
      <c r="K113" s="117" t="s">
        <v>239</v>
      </c>
      <c r="L113" s="117">
        <v>111.65</v>
      </c>
      <c r="M113" s="117" t="s">
        <v>6</v>
      </c>
      <c r="P113" s="117" t="s">
        <v>239</v>
      </c>
      <c r="Q113" s="117">
        <v>134.01</v>
      </c>
      <c r="R113" s="117" t="s">
        <v>6</v>
      </c>
      <c r="U113" s="117" t="s">
        <v>239</v>
      </c>
      <c r="V113" s="117">
        <v>70.69</v>
      </c>
      <c r="W113" s="117" t="s">
        <v>6</v>
      </c>
    </row>
    <row r="114" spans="1:23" ht="14.25" customHeight="1" x14ac:dyDescent="0.3">
      <c r="A114" s="357" t="s">
        <v>566</v>
      </c>
      <c r="B114" s="2">
        <f t="shared" ref="B114:B120" si="10">B175*$B$113</f>
        <v>99.1</v>
      </c>
      <c r="C114" s="2" t="s">
        <v>40</v>
      </c>
      <c r="F114" s="357" t="s">
        <v>566</v>
      </c>
      <c r="G114" s="2">
        <f t="shared" ref="G114:G120" si="11">B175*$G$113</f>
        <v>83.81</v>
      </c>
      <c r="H114" s="2" t="s">
        <v>40</v>
      </c>
      <c r="K114" s="357" t="s">
        <v>566</v>
      </c>
      <c r="L114" s="2">
        <f t="shared" ref="L114:L120" si="12">B175*$L$113</f>
        <v>111.65</v>
      </c>
      <c r="M114" s="2" t="s">
        <v>40</v>
      </c>
      <c r="P114" s="357" t="s">
        <v>566</v>
      </c>
      <c r="Q114" s="2">
        <f t="shared" ref="Q114:Q120" si="13">B175*$Q$113</f>
        <v>134.01</v>
      </c>
      <c r="R114" s="2" t="s">
        <v>40</v>
      </c>
      <c r="U114" s="357" t="s">
        <v>566</v>
      </c>
      <c r="V114" s="2">
        <f t="shared" ref="V114:V120" si="14">B175*$V$113</f>
        <v>70.69</v>
      </c>
      <c r="W114" s="2" t="s">
        <v>40</v>
      </c>
    </row>
    <row r="115" spans="1:23" ht="14.25" customHeight="1" x14ac:dyDescent="0.3">
      <c r="A115" s="357" t="s">
        <v>567</v>
      </c>
      <c r="B115" s="2">
        <f t="shared" si="10"/>
        <v>247.75</v>
      </c>
      <c r="C115" s="2" t="s">
        <v>40</v>
      </c>
      <c r="F115" s="357" t="s">
        <v>567</v>
      </c>
      <c r="G115" s="168">
        <f t="shared" si="11"/>
        <v>209.52500000000001</v>
      </c>
      <c r="H115" s="2" t="s">
        <v>40</v>
      </c>
      <c r="K115" s="357" t="s">
        <v>567</v>
      </c>
      <c r="L115" s="168">
        <f t="shared" si="12"/>
        <v>279.125</v>
      </c>
      <c r="M115" s="2" t="s">
        <v>40</v>
      </c>
      <c r="P115" s="357" t="s">
        <v>567</v>
      </c>
      <c r="Q115" s="2">
        <f t="shared" si="13"/>
        <v>335.02499999999998</v>
      </c>
      <c r="R115" s="2" t="s">
        <v>40</v>
      </c>
      <c r="U115" s="357" t="s">
        <v>567</v>
      </c>
      <c r="V115" s="168">
        <f t="shared" si="14"/>
        <v>176.72499999999999</v>
      </c>
      <c r="W115" s="2" t="s">
        <v>40</v>
      </c>
    </row>
    <row r="116" spans="1:23" ht="14.25" customHeight="1" x14ac:dyDescent="0.3">
      <c r="A116" s="2" t="s">
        <v>44</v>
      </c>
      <c r="B116" s="171">
        <f t="shared" si="10"/>
        <v>792.8</v>
      </c>
      <c r="C116" s="2" t="s">
        <v>25</v>
      </c>
      <c r="F116" s="2" t="s">
        <v>44</v>
      </c>
      <c r="G116" s="171">
        <f t="shared" si="11"/>
        <v>670.48</v>
      </c>
      <c r="H116" s="2" t="s">
        <v>25</v>
      </c>
      <c r="K116" s="2" t="s">
        <v>44</v>
      </c>
      <c r="L116" s="2">
        <f t="shared" si="12"/>
        <v>893.2</v>
      </c>
      <c r="M116" s="2" t="s">
        <v>25</v>
      </c>
      <c r="P116" s="2" t="s">
        <v>44</v>
      </c>
      <c r="Q116" s="2">
        <f t="shared" si="13"/>
        <v>1072.08</v>
      </c>
      <c r="R116" s="2" t="s">
        <v>25</v>
      </c>
      <c r="U116" s="2" t="s">
        <v>44</v>
      </c>
      <c r="V116" s="2">
        <f t="shared" si="14"/>
        <v>565.52</v>
      </c>
      <c r="W116" s="2" t="s">
        <v>25</v>
      </c>
    </row>
    <row r="117" spans="1:23" ht="14.25" customHeight="1" x14ac:dyDescent="0.3">
      <c r="A117" s="2" t="s">
        <v>45</v>
      </c>
      <c r="B117" s="171">
        <f t="shared" si="10"/>
        <v>1288.3</v>
      </c>
      <c r="C117" s="2" t="s">
        <v>25</v>
      </c>
      <c r="F117" s="2" t="s">
        <v>45</v>
      </c>
      <c r="G117" s="171">
        <f t="shared" si="11"/>
        <v>1089.53</v>
      </c>
      <c r="H117" s="2" t="s">
        <v>25</v>
      </c>
      <c r="K117" s="2" t="s">
        <v>45</v>
      </c>
      <c r="L117" s="2">
        <f t="shared" si="12"/>
        <v>1451.45</v>
      </c>
      <c r="M117" s="2" t="s">
        <v>25</v>
      </c>
      <c r="P117" s="2" t="s">
        <v>45</v>
      </c>
      <c r="Q117" s="2">
        <f t="shared" si="13"/>
        <v>1742.1299999999999</v>
      </c>
      <c r="R117" s="2" t="s">
        <v>25</v>
      </c>
      <c r="U117" s="2" t="s">
        <v>45</v>
      </c>
      <c r="V117" s="2">
        <f t="shared" si="14"/>
        <v>918.97</v>
      </c>
      <c r="W117" s="2" t="s">
        <v>25</v>
      </c>
    </row>
    <row r="118" spans="1:23" ht="14.25" customHeight="1" x14ac:dyDescent="0.3">
      <c r="A118" s="2" t="s">
        <v>233</v>
      </c>
      <c r="B118" s="168">
        <f t="shared" si="10"/>
        <v>163.51499999999999</v>
      </c>
      <c r="C118" s="2" t="s">
        <v>40</v>
      </c>
      <c r="F118" s="2" t="s">
        <v>233</v>
      </c>
      <c r="G118" s="168">
        <f t="shared" si="11"/>
        <v>138.28649999999999</v>
      </c>
      <c r="H118" s="2" t="s">
        <v>40</v>
      </c>
      <c r="K118" s="2" t="s">
        <v>233</v>
      </c>
      <c r="L118" s="168">
        <f t="shared" si="12"/>
        <v>184.2225</v>
      </c>
      <c r="M118" s="2" t="s">
        <v>40</v>
      </c>
      <c r="P118" s="2" t="s">
        <v>233</v>
      </c>
      <c r="Q118" s="2">
        <f t="shared" si="13"/>
        <v>221.11649999999997</v>
      </c>
      <c r="R118" s="2" t="s">
        <v>40</v>
      </c>
      <c r="U118" s="2" t="s">
        <v>233</v>
      </c>
      <c r="V118" s="168">
        <f t="shared" si="14"/>
        <v>116.63849999999999</v>
      </c>
      <c r="W118" s="2" t="s">
        <v>40</v>
      </c>
    </row>
    <row r="119" spans="1:23" ht="14.25" customHeight="1" x14ac:dyDescent="0.3">
      <c r="A119" s="2" t="s">
        <v>43</v>
      </c>
      <c r="B119" s="2">
        <f t="shared" si="10"/>
        <v>4.9550000000000001</v>
      </c>
      <c r="C119" s="2" t="s">
        <v>34</v>
      </c>
      <c r="F119" s="2" t="s">
        <v>43</v>
      </c>
      <c r="G119" s="2">
        <f t="shared" si="11"/>
        <v>4.1905000000000001</v>
      </c>
      <c r="H119" s="2" t="s">
        <v>34</v>
      </c>
      <c r="K119" s="2" t="s">
        <v>43</v>
      </c>
      <c r="L119" s="168">
        <f t="shared" si="12"/>
        <v>5.5825000000000005</v>
      </c>
      <c r="M119" s="2" t="s">
        <v>34</v>
      </c>
      <c r="P119" s="2" t="s">
        <v>43</v>
      </c>
      <c r="Q119" s="2">
        <f t="shared" si="13"/>
        <v>6.7004999999999999</v>
      </c>
      <c r="R119" s="2" t="s">
        <v>34</v>
      </c>
      <c r="U119" s="2" t="s">
        <v>43</v>
      </c>
      <c r="V119" s="168">
        <f t="shared" si="14"/>
        <v>3.5345</v>
      </c>
      <c r="W119" s="2" t="s">
        <v>34</v>
      </c>
    </row>
    <row r="120" spans="1:23" ht="14.25" customHeight="1" x14ac:dyDescent="0.3">
      <c r="A120" s="2" t="s">
        <v>236</v>
      </c>
      <c r="B120" s="168">
        <f t="shared" si="10"/>
        <v>104.05499999999999</v>
      </c>
      <c r="C120" s="2" t="s">
        <v>6</v>
      </c>
      <c r="F120" s="2" t="s">
        <v>236</v>
      </c>
      <c r="G120" s="168">
        <f t="shared" si="11"/>
        <v>88.000500000000002</v>
      </c>
      <c r="H120" s="2" t="s">
        <v>6</v>
      </c>
      <c r="K120" s="2" t="s">
        <v>236</v>
      </c>
      <c r="L120" s="168">
        <f t="shared" si="12"/>
        <v>117.23250000000002</v>
      </c>
      <c r="M120" s="2" t="s">
        <v>6</v>
      </c>
      <c r="P120" s="2" t="s">
        <v>236</v>
      </c>
      <c r="Q120" s="2">
        <f t="shared" si="13"/>
        <v>140.7105</v>
      </c>
      <c r="R120" s="2" t="s">
        <v>6</v>
      </c>
      <c r="U120" s="2" t="s">
        <v>236</v>
      </c>
      <c r="V120" s="168">
        <f t="shared" si="14"/>
        <v>74.224500000000006</v>
      </c>
      <c r="W120" s="2" t="s">
        <v>6</v>
      </c>
    </row>
    <row r="121" spans="1:23" ht="14.25" customHeight="1" x14ac:dyDescent="0.3">
      <c r="A121" s="117" t="s">
        <v>248</v>
      </c>
      <c r="B121" s="117">
        <v>45</v>
      </c>
      <c r="C121" s="117" t="s">
        <v>6</v>
      </c>
      <c r="F121" s="117" t="s">
        <v>248</v>
      </c>
      <c r="G121" s="117">
        <v>45</v>
      </c>
      <c r="H121" s="117" t="s">
        <v>6</v>
      </c>
      <c r="K121" s="117" t="s">
        <v>248</v>
      </c>
      <c r="L121" s="117">
        <v>60</v>
      </c>
      <c r="M121" s="117" t="s">
        <v>6</v>
      </c>
      <c r="P121" s="117" t="s">
        <v>248</v>
      </c>
      <c r="Q121" s="117">
        <v>60</v>
      </c>
      <c r="R121" s="117" t="s">
        <v>6</v>
      </c>
      <c r="U121" s="117" t="s">
        <v>248</v>
      </c>
      <c r="V121" s="117">
        <v>30</v>
      </c>
      <c r="W121" s="117" t="s">
        <v>6</v>
      </c>
    </row>
    <row r="122" spans="1:23" ht="14.25" customHeight="1" x14ac:dyDescent="0.3">
      <c r="A122" s="2" t="s">
        <v>45</v>
      </c>
      <c r="B122" s="2">
        <f>B183*$B$121</f>
        <v>225</v>
      </c>
      <c r="C122" s="2" t="s">
        <v>25</v>
      </c>
      <c r="F122" s="2" t="s">
        <v>45</v>
      </c>
      <c r="G122" s="2">
        <f>B183*$G$121</f>
        <v>225</v>
      </c>
      <c r="H122" s="2" t="s">
        <v>25</v>
      </c>
      <c r="K122" s="2" t="s">
        <v>45</v>
      </c>
      <c r="L122" s="2">
        <f>B183*$L$121</f>
        <v>300</v>
      </c>
      <c r="M122" s="2" t="s">
        <v>25</v>
      </c>
      <c r="P122" s="2" t="s">
        <v>45</v>
      </c>
      <c r="Q122" s="2">
        <f>B183*$Q$121</f>
        <v>300</v>
      </c>
      <c r="R122" s="2" t="s">
        <v>25</v>
      </c>
      <c r="U122" s="2" t="s">
        <v>45</v>
      </c>
      <c r="V122" s="2">
        <f>B183*$V$121</f>
        <v>150</v>
      </c>
      <c r="W122" s="2" t="s">
        <v>25</v>
      </c>
    </row>
    <row r="123" spans="1:23" ht="14.25" customHeight="1" x14ac:dyDescent="0.3">
      <c r="A123" s="2" t="s">
        <v>331</v>
      </c>
      <c r="B123" s="2">
        <v>54.77</v>
      </c>
      <c r="C123" s="2" t="s">
        <v>40</v>
      </c>
      <c r="F123" s="2" t="s">
        <v>331</v>
      </c>
      <c r="G123" s="2">
        <v>64.209999999999994</v>
      </c>
      <c r="H123" s="2" t="s">
        <v>40</v>
      </c>
      <c r="K123" s="2" t="s">
        <v>331</v>
      </c>
      <c r="L123" s="2">
        <v>67.459999999999994</v>
      </c>
      <c r="M123" s="2" t="s">
        <v>40</v>
      </c>
      <c r="P123" s="2" t="s">
        <v>331</v>
      </c>
      <c r="Q123" s="2">
        <v>70.040000000000006</v>
      </c>
      <c r="R123" s="2" t="s">
        <v>40</v>
      </c>
      <c r="U123" s="2" t="s">
        <v>331</v>
      </c>
      <c r="V123" s="2">
        <v>32.19</v>
      </c>
      <c r="W123" s="2"/>
    </row>
    <row r="124" spans="1:23" ht="14.25" customHeight="1" x14ac:dyDescent="0.3">
      <c r="A124" s="2" t="s">
        <v>335</v>
      </c>
      <c r="B124" s="2">
        <f>B184*$B$121</f>
        <v>90</v>
      </c>
      <c r="C124" s="2" t="s">
        <v>40</v>
      </c>
      <c r="F124" s="2" t="s">
        <v>335</v>
      </c>
      <c r="G124" s="2">
        <f>B184*$G$121</f>
        <v>90</v>
      </c>
      <c r="H124" s="2" t="s">
        <v>40</v>
      </c>
      <c r="K124" s="2" t="s">
        <v>335</v>
      </c>
      <c r="L124" s="2">
        <f>B184*$L$121</f>
        <v>120</v>
      </c>
      <c r="M124" s="2" t="s">
        <v>40</v>
      </c>
      <c r="P124" s="2" t="s">
        <v>335</v>
      </c>
      <c r="Q124" s="2">
        <f>B184*$Q$121</f>
        <v>120</v>
      </c>
      <c r="R124" s="2" t="s">
        <v>40</v>
      </c>
      <c r="U124" s="2" t="s">
        <v>335</v>
      </c>
      <c r="V124" s="2">
        <f>B184*$V$121</f>
        <v>60</v>
      </c>
      <c r="W124" s="2" t="s">
        <v>40</v>
      </c>
    </row>
    <row r="125" spans="1:23" ht="14.25" customHeight="1" x14ac:dyDescent="0.3">
      <c r="A125" s="2" t="s">
        <v>62</v>
      </c>
      <c r="B125" s="2">
        <f>B185*$B$121</f>
        <v>45</v>
      </c>
      <c r="C125" s="2" t="s">
        <v>6</v>
      </c>
      <c r="F125" s="2" t="s">
        <v>62</v>
      </c>
      <c r="G125" s="2">
        <f>B185*$G$121</f>
        <v>45</v>
      </c>
      <c r="H125" s="2" t="s">
        <v>6</v>
      </c>
      <c r="K125" s="2" t="s">
        <v>62</v>
      </c>
      <c r="L125" s="2">
        <f>B185*$L$121</f>
        <v>60</v>
      </c>
      <c r="M125" s="2" t="s">
        <v>6</v>
      </c>
      <c r="P125" s="2" t="s">
        <v>62</v>
      </c>
      <c r="Q125" s="2">
        <f>B185*$Q$121</f>
        <v>60</v>
      </c>
      <c r="R125" s="2" t="s">
        <v>6</v>
      </c>
      <c r="U125" s="2" t="s">
        <v>62</v>
      </c>
      <c r="V125" s="2">
        <f>B185*$V$121</f>
        <v>30</v>
      </c>
      <c r="W125" s="2" t="s">
        <v>6</v>
      </c>
    </row>
    <row r="126" spans="1:23" ht="14.25" customHeight="1" x14ac:dyDescent="0.3">
      <c r="A126" s="2" t="s">
        <v>249</v>
      </c>
      <c r="B126" s="2">
        <v>54.77</v>
      </c>
      <c r="C126" s="2" t="s">
        <v>40</v>
      </c>
      <c r="F126" s="2" t="s">
        <v>249</v>
      </c>
      <c r="G126" s="2">
        <v>64.209999999999994</v>
      </c>
      <c r="H126" s="2" t="s">
        <v>6</v>
      </c>
      <c r="K126" s="2" t="s">
        <v>249</v>
      </c>
      <c r="L126" s="2">
        <v>67.459999999999994</v>
      </c>
      <c r="M126" s="2" t="s">
        <v>6</v>
      </c>
      <c r="P126" s="2" t="s">
        <v>249</v>
      </c>
      <c r="Q126" s="2">
        <v>70.040000000000006</v>
      </c>
      <c r="R126" s="2" t="s">
        <v>6</v>
      </c>
      <c r="U126" s="2" t="s">
        <v>249</v>
      </c>
      <c r="V126" s="2">
        <v>32.19</v>
      </c>
      <c r="W126" s="2" t="s">
        <v>6</v>
      </c>
    </row>
    <row r="127" spans="1:23" ht="14.25" customHeight="1" x14ac:dyDescent="0.3">
      <c r="A127" s="117" t="s">
        <v>137</v>
      </c>
      <c r="B127" s="117">
        <v>45</v>
      </c>
      <c r="C127" s="117"/>
      <c r="F127" s="117" t="s">
        <v>137</v>
      </c>
      <c r="G127" s="117">
        <v>45</v>
      </c>
      <c r="H127" s="117"/>
      <c r="K127" s="117" t="s">
        <v>137</v>
      </c>
      <c r="L127" s="117">
        <v>60</v>
      </c>
      <c r="M127" s="117"/>
      <c r="P127" s="117" t="s">
        <v>137</v>
      </c>
      <c r="Q127" s="117">
        <v>60</v>
      </c>
      <c r="R127" s="117"/>
      <c r="U127" s="117" t="s">
        <v>137</v>
      </c>
      <c r="V127" s="117">
        <v>30</v>
      </c>
      <c r="W127" s="117" t="s">
        <v>6</v>
      </c>
    </row>
    <row r="128" spans="1:23" ht="14.25" customHeight="1" x14ac:dyDescent="0.3">
      <c r="A128" s="2" t="s">
        <v>139</v>
      </c>
      <c r="B128" s="2">
        <f>B187*$B$127</f>
        <v>45</v>
      </c>
      <c r="C128" s="2" t="s">
        <v>6</v>
      </c>
      <c r="F128" s="2" t="s">
        <v>139</v>
      </c>
      <c r="G128" s="2">
        <f>B187*$G$127</f>
        <v>45</v>
      </c>
      <c r="H128" s="2" t="s">
        <v>6</v>
      </c>
      <c r="K128" s="2" t="s">
        <v>139</v>
      </c>
      <c r="L128" s="2">
        <f>B187*$L$127</f>
        <v>60</v>
      </c>
      <c r="M128" s="2" t="s">
        <v>6</v>
      </c>
      <c r="P128" s="2" t="s">
        <v>139</v>
      </c>
      <c r="Q128" s="2">
        <f>B187*$Q$127</f>
        <v>60</v>
      </c>
      <c r="R128" s="2" t="s">
        <v>6</v>
      </c>
      <c r="U128" s="2" t="s">
        <v>139</v>
      </c>
      <c r="V128" s="2">
        <f>B187*$V$127</f>
        <v>30</v>
      </c>
      <c r="W128" s="2" t="s">
        <v>6</v>
      </c>
    </row>
    <row r="129" spans="1:23" ht="14.25" customHeight="1" x14ac:dyDescent="0.3">
      <c r="A129" s="2" t="s">
        <v>140</v>
      </c>
      <c r="B129" s="2">
        <f>(B188*$B$127)-B131</f>
        <v>40.28</v>
      </c>
      <c r="C129" s="2" t="s">
        <v>6</v>
      </c>
      <c r="F129" s="2" t="s">
        <v>140</v>
      </c>
      <c r="G129" s="2">
        <f>(B188*$G$127)-G131</f>
        <v>41.65</v>
      </c>
      <c r="H129" s="2" t="s">
        <v>6</v>
      </c>
      <c r="K129" s="2" t="s">
        <v>140</v>
      </c>
      <c r="L129" s="2">
        <f>(B188*$L$127)-L131</f>
        <v>55.3</v>
      </c>
      <c r="M129" s="2" t="s">
        <v>6</v>
      </c>
      <c r="P129" s="2" t="s">
        <v>140</v>
      </c>
      <c r="Q129" s="2">
        <f>(B188*$Q$127)-Q131</f>
        <v>56.35</v>
      </c>
      <c r="R129" s="2" t="s">
        <v>6</v>
      </c>
      <c r="U129" s="2" t="s">
        <v>140</v>
      </c>
      <c r="V129" s="2">
        <f>(B188*$V$127)-V131</f>
        <v>28.01</v>
      </c>
      <c r="W129" s="2" t="s">
        <v>6</v>
      </c>
    </row>
    <row r="130" spans="1:23" ht="14.25" customHeight="1" x14ac:dyDescent="0.3">
      <c r="A130" s="2" t="s">
        <v>145</v>
      </c>
      <c r="B130" s="2">
        <f>B189*$B$129</f>
        <v>5.6392000000000007</v>
      </c>
      <c r="C130" s="2" t="s">
        <v>35</v>
      </c>
      <c r="F130" s="2" t="s">
        <v>145</v>
      </c>
      <c r="G130" s="2">
        <f>B189*$G$129</f>
        <v>5.8310000000000004</v>
      </c>
      <c r="H130" s="2" t="s">
        <v>35</v>
      </c>
      <c r="K130" s="2" t="s">
        <v>145</v>
      </c>
      <c r="L130" s="2">
        <f>B189*$L$129</f>
        <v>7.742</v>
      </c>
      <c r="M130" s="2" t="s">
        <v>35</v>
      </c>
      <c r="P130" s="2" t="s">
        <v>145</v>
      </c>
      <c r="Q130" s="2">
        <f>B189*$Q$127</f>
        <v>8.4</v>
      </c>
      <c r="R130" s="2" t="s">
        <v>35</v>
      </c>
      <c r="U130" s="2" t="s">
        <v>145</v>
      </c>
      <c r="V130" s="168">
        <f>B189*$V$129</f>
        <v>3.9214000000000007</v>
      </c>
      <c r="W130" s="2" t="s">
        <v>35</v>
      </c>
    </row>
    <row r="131" spans="1:23" ht="14.25" customHeight="1" x14ac:dyDescent="0.3">
      <c r="A131" s="2" t="s">
        <v>250</v>
      </c>
      <c r="B131" s="2">
        <v>4.72</v>
      </c>
      <c r="C131" s="2" t="s">
        <v>6</v>
      </c>
      <c r="F131" s="2" t="s">
        <v>250</v>
      </c>
      <c r="G131" s="2">
        <v>3.35</v>
      </c>
      <c r="H131" s="2" t="s">
        <v>6</v>
      </c>
      <c r="K131" s="2" t="s">
        <v>250</v>
      </c>
      <c r="L131" s="2">
        <v>4.7</v>
      </c>
      <c r="M131" s="2" t="s">
        <v>6</v>
      </c>
      <c r="P131" s="2" t="s">
        <v>250</v>
      </c>
      <c r="Q131" s="2">
        <v>3.65</v>
      </c>
      <c r="R131" s="2" t="s">
        <v>6</v>
      </c>
      <c r="U131" s="2" t="s">
        <v>250</v>
      </c>
      <c r="V131" s="2">
        <v>1.99</v>
      </c>
      <c r="W131" s="2" t="s">
        <v>6</v>
      </c>
    </row>
    <row r="132" spans="1:23" ht="14.25" customHeight="1" x14ac:dyDescent="0.3">
      <c r="A132" s="2" t="s">
        <v>251</v>
      </c>
      <c r="B132" s="2">
        <v>10.42</v>
      </c>
      <c r="C132" s="2" t="s">
        <v>40</v>
      </c>
      <c r="F132" s="2" t="s">
        <v>251</v>
      </c>
      <c r="G132" s="2">
        <v>6.21</v>
      </c>
      <c r="H132" s="2" t="s">
        <v>40</v>
      </c>
      <c r="K132" s="2" t="s">
        <v>251</v>
      </c>
      <c r="L132" s="2">
        <v>10.85</v>
      </c>
      <c r="M132" s="2" t="s">
        <v>40</v>
      </c>
      <c r="P132" s="2" t="s">
        <v>251</v>
      </c>
      <c r="Q132" s="2">
        <v>6.45</v>
      </c>
      <c r="R132" s="2" t="s">
        <v>40</v>
      </c>
      <c r="U132" s="2" t="s">
        <v>251</v>
      </c>
      <c r="V132" s="2">
        <v>4.32</v>
      </c>
      <c r="W132" s="2" t="s">
        <v>40</v>
      </c>
    </row>
    <row r="133" spans="1:23" ht="14.25" customHeight="1" x14ac:dyDescent="0.25"/>
    <row r="134" spans="1:23" ht="14.25" customHeight="1" x14ac:dyDescent="0.25"/>
    <row r="135" spans="1:23" ht="14.25" customHeight="1" x14ac:dyDescent="0.25"/>
    <row r="136" spans="1:23" ht="13.8" x14ac:dyDescent="0.25"/>
    <row r="137" spans="1:23" ht="14.25" customHeight="1" x14ac:dyDescent="0.25"/>
    <row r="138" spans="1:23" ht="14.25" customHeight="1" x14ac:dyDescent="0.25"/>
    <row r="139" spans="1:23" ht="14.25" customHeight="1" x14ac:dyDescent="0.25"/>
    <row r="140" spans="1:23" ht="14.25" customHeight="1" x14ac:dyDescent="0.3">
      <c r="A140" s="750" t="s">
        <v>252</v>
      </c>
      <c r="B140" s="743"/>
      <c r="C140" s="744"/>
      <c r="F140" s="750" t="s">
        <v>338</v>
      </c>
      <c r="G140" s="743"/>
      <c r="H140" s="744"/>
      <c r="K140" s="750" t="s">
        <v>253</v>
      </c>
      <c r="L140" s="743"/>
      <c r="M140" s="744"/>
      <c r="P140" s="750" t="s">
        <v>254</v>
      </c>
      <c r="Q140" s="743"/>
      <c r="R140" s="744"/>
      <c r="U140" s="750" t="s">
        <v>255</v>
      </c>
      <c r="V140" s="743"/>
      <c r="W140" s="744"/>
    </row>
    <row r="141" spans="1:23" ht="14.25" customHeight="1" x14ac:dyDescent="0.3">
      <c r="A141" s="357" t="s">
        <v>566</v>
      </c>
      <c r="B141" s="2">
        <f>SUM(B106+B114)</f>
        <v>115.67999999999999</v>
      </c>
      <c r="C141" s="2" t="s">
        <v>40</v>
      </c>
      <c r="F141" s="357" t="s">
        <v>566</v>
      </c>
      <c r="G141" s="2">
        <f>SUM(G106+G114)</f>
        <v>109.11</v>
      </c>
      <c r="H141" s="2" t="s">
        <v>40</v>
      </c>
      <c r="K141" s="357" t="s">
        <v>566</v>
      </c>
      <c r="L141" s="2">
        <f>SUM(L106+L114)</f>
        <v>139.52000000000001</v>
      </c>
      <c r="M141" s="2" t="s">
        <v>40</v>
      </c>
      <c r="P141" s="357" t="s">
        <v>566</v>
      </c>
      <c r="Q141" s="2">
        <f>SUM(Q106+Q114)</f>
        <v>157.1</v>
      </c>
      <c r="R141" s="2" t="s">
        <v>40</v>
      </c>
      <c r="U141" s="357" t="s">
        <v>566</v>
      </c>
      <c r="V141" s="2">
        <f>SUM(V106+V114)</f>
        <v>76.03</v>
      </c>
      <c r="W141" s="2" t="s">
        <v>40</v>
      </c>
    </row>
    <row r="142" spans="1:23" ht="14.25" customHeight="1" x14ac:dyDescent="0.3">
      <c r="A142" s="357" t="s">
        <v>567</v>
      </c>
      <c r="B142" s="2">
        <f>SUM(B107+B115)</f>
        <v>289.2</v>
      </c>
      <c r="C142" s="2" t="s">
        <v>40</v>
      </c>
      <c r="F142" s="357" t="s">
        <v>567</v>
      </c>
      <c r="G142" s="2">
        <f>SUM(G107+G115)</f>
        <v>272.77499999999998</v>
      </c>
      <c r="H142" s="2" t="s">
        <v>40</v>
      </c>
      <c r="K142" s="357" t="s">
        <v>567</v>
      </c>
      <c r="L142" s="2">
        <f>SUM(L107+L115)</f>
        <v>348.8</v>
      </c>
      <c r="M142" s="2" t="s">
        <v>40</v>
      </c>
      <c r="P142" s="357" t="s">
        <v>567</v>
      </c>
      <c r="Q142" s="2">
        <f>SUM(Q107+Q115)</f>
        <v>392.75</v>
      </c>
      <c r="R142" s="2" t="s">
        <v>40</v>
      </c>
      <c r="U142" s="357" t="s">
        <v>567</v>
      </c>
      <c r="V142" s="168">
        <f>SUM(V107+V115)</f>
        <v>190.07499999999999</v>
      </c>
      <c r="W142" s="2" t="s">
        <v>40</v>
      </c>
    </row>
    <row r="143" spans="1:23" ht="14.25" customHeight="1" x14ac:dyDescent="0.3">
      <c r="A143" s="2" t="s">
        <v>44</v>
      </c>
      <c r="B143" s="171">
        <f>SUM(B108+B116)</f>
        <v>925.43999999999994</v>
      </c>
      <c r="C143" s="2" t="s">
        <v>256</v>
      </c>
      <c r="F143" s="2" t="s">
        <v>44</v>
      </c>
      <c r="G143" s="171">
        <f>SUM(G108+G116)</f>
        <v>872.88</v>
      </c>
      <c r="H143" s="2" t="s">
        <v>256</v>
      </c>
      <c r="K143" s="2" t="s">
        <v>44</v>
      </c>
      <c r="L143" s="171">
        <f>SUM(L108+L116)</f>
        <v>1116.1600000000001</v>
      </c>
      <c r="M143" s="2" t="s">
        <v>256</v>
      </c>
      <c r="P143" s="2" t="s">
        <v>44</v>
      </c>
      <c r="Q143" s="2">
        <f>SUM(Q108+Q116)</f>
        <v>1256.8</v>
      </c>
      <c r="R143" s="2" t="s">
        <v>256</v>
      </c>
      <c r="U143" s="2" t="s">
        <v>44</v>
      </c>
      <c r="V143" s="2">
        <f>SUM(V108+V116)</f>
        <v>608.24</v>
      </c>
      <c r="W143" s="2" t="s">
        <v>256</v>
      </c>
    </row>
    <row r="144" spans="1:23" ht="14.25" customHeight="1" x14ac:dyDescent="0.3">
      <c r="A144" s="2" t="s">
        <v>45</v>
      </c>
      <c r="B144" s="171">
        <f>SUM(B109+B117+B122)</f>
        <v>1944.3799999999999</v>
      </c>
      <c r="C144" s="2" t="s">
        <v>256</v>
      </c>
      <c r="F144" s="2" t="s">
        <v>45</v>
      </c>
      <c r="G144" s="171">
        <f>SUM(G109+G117+G122)</f>
        <v>1972.33</v>
      </c>
      <c r="H144" s="2" t="s">
        <v>256</v>
      </c>
      <c r="K144" s="2" t="s">
        <v>45</v>
      </c>
      <c r="L144" s="171">
        <f>SUM(L109+L117+L122)</f>
        <v>2476.0700000000002</v>
      </c>
      <c r="M144" s="2" t="s">
        <v>256</v>
      </c>
      <c r="P144" s="2" t="s">
        <v>45</v>
      </c>
      <c r="Q144" s="2">
        <f>SUM(Q109+Q117+Q122)</f>
        <v>2642.47</v>
      </c>
      <c r="R144" s="2" t="s">
        <v>256</v>
      </c>
      <c r="U144" s="2" t="s">
        <v>45</v>
      </c>
      <c r="V144" s="2">
        <f>SUM(V109+V117+V122)</f>
        <v>1207.81</v>
      </c>
      <c r="W144" s="2" t="s">
        <v>256</v>
      </c>
    </row>
    <row r="145" spans="1:23" ht="14.25" customHeight="1" x14ac:dyDescent="0.3">
      <c r="A145" s="2" t="s">
        <v>233</v>
      </c>
      <c r="B145" s="168">
        <f>SUM(B110+B118)</f>
        <v>218.22899999999998</v>
      </c>
      <c r="C145" s="2" t="s">
        <v>40</v>
      </c>
      <c r="F145" s="2" t="s">
        <v>233</v>
      </c>
      <c r="G145" s="168">
        <f>SUM(G110+G118)</f>
        <v>221.7765</v>
      </c>
      <c r="H145" s="2" t="s">
        <v>40</v>
      </c>
      <c r="K145" s="2" t="s">
        <v>233</v>
      </c>
      <c r="L145" s="2">
        <f>SUM(L110+L118)</f>
        <v>276.19349999999997</v>
      </c>
      <c r="M145" s="2" t="s">
        <v>40</v>
      </c>
      <c r="P145" s="2" t="s">
        <v>233</v>
      </c>
      <c r="Q145" s="2">
        <f>SUM(Q110+Q118)</f>
        <v>297.31349999999998</v>
      </c>
      <c r="R145" s="2" t="s">
        <v>40</v>
      </c>
      <c r="U145" s="2" t="s">
        <v>233</v>
      </c>
      <c r="V145" s="168">
        <f>SUM(V110+V118)</f>
        <v>134.26049999999998</v>
      </c>
      <c r="W145" s="2" t="s">
        <v>40</v>
      </c>
    </row>
    <row r="146" spans="1:23" ht="14.25" customHeight="1" x14ac:dyDescent="0.3">
      <c r="A146" s="2" t="s">
        <v>43</v>
      </c>
      <c r="B146" s="168">
        <f>SUM(B111+B119)</f>
        <v>6.7788000000000004</v>
      </c>
      <c r="C146" s="2" t="s">
        <v>34</v>
      </c>
      <c r="F146" s="2" t="s">
        <v>43</v>
      </c>
      <c r="G146" s="170">
        <f>SUM(G111+G119)</f>
        <v>6.9734999999999996</v>
      </c>
      <c r="H146" s="2" t="s">
        <v>34</v>
      </c>
      <c r="K146" s="2" t="s">
        <v>43</v>
      </c>
      <c r="L146" s="2">
        <f>SUM(L111+L119)</f>
        <v>8.648200000000001</v>
      </c>
      <c r="M146" s="2" t="s">
        <v>34</v>
      </c>
      <c r="P146" s="2" t="s">
        <v>43</v>
      </c>
      <c r="Q146" s="2">
        <f>SUM(Q111+Q119)</f>
        <v>9.2403999999999993</v>
      </c>
      <c r="R146" s="2" t="s">
        <v>34</v>
      </c>
      <c r="U146" s="2" t="s">
        <v>43</v>
      </c>
      <c r="V146" s="168">
        <f>SUM(V111+V119)</f>
        <v>4.1219000000000001</v>
      </c>
      <c r="W146" s="2" t="s">
        <v>34</v>
      </c>
    </row>
    <row r="147" spans="1:23" ht="14.25" customHeight="1" x14ac:dyDescent="0.3">
      <c r="A147" s="2" t="s">
        <v>257</v>
      </c>
      <c r="B147" s="168">
        <f>SUM(B112+B120)-13.072</f>
        <v>124.97199999999998</v>
      </c>
      <c r="C147" s="2" t="s">
        <v>6</v>
      </c>
      <c r="F147" s="2" t="s">
        <v>257</v>
      </c>
      <c r="G147" s="168">
        <f>SUM(G112+G120)-12.836</f>
        <v>127.0295</v>
      </c>
      <c r="H147" s="2" t="s">
        <v>6</v>
      </c>
      <c r="K147" s="2" t="s">
        <v>257</v>
      </c>
      <c r="L147" s="2">
        <f>SUM(L112+L120)-17.272</f>
        <v>157.09400000000002</v>
      </c>
      <c r="M147" s="2" t="s">
        <v>6</v>
      </c>
      <c r="P147" s="2" t="s">
        <v>257</v>
      </c>
      <c r="Q147" s="2">
        <f>SUM(Q112+Q120)-15.95</f>
        <v>172.095</v>
      </c>
      <c r="R147" s="2" t="s">
        <v>6</v>
      </c>
      <c r="U147" s="2" t="s">
        <v>257</v>
      </c>
      <c r="V147" s="168">
        <f>SUM(V112+V120)-9.83</f>
        <v>75.341500000000011</v>
      </c>
      <c r="W147" s="2" t="s">
        <v>6</v>
      </c>
    </row>
    <row r="148" spans="1:23" ht="14.25" customHeight="1" x14ac:dyDescent="0.3">
      <c r="A148" s="165" t="s">
        <v>335</v>
      </c>
      <c r="B148" s="2">
        <f t="shared" ref="B148:B149" si="15">B124</f>
        <v>90</v>
      </c>
      <c r="C148" s="2" t="s">
        <v>40</v>
      </c>
      <c r="F148" s="165" t="s">
        <v>335</v>
      </c>
      <c r="G148" s="2">
        <f t="shared" ref="G148:G149" si="16">G124</f>
        <v>90</v>
      </c>
      <c r="H148" s="2" t="s">
        <v>40</v>
      </c>
      <c r="K148" s="165" t="s">
        <v>335</v>
      </c>
      <c r="L148" s="2">
        <f t="shared" ref="L148:L149" si="17">L124</f>
        <v>120</v>
      </c>
      <c r="M148" s="2" t="s">
        <v>40</v>
      </c>
      <c r="P148" s="165" t="s">
        <v>335</v>
      </c>
      <c r="Q148" s="2">
        <f t="shared" ref="Q148:Q149" si="18">Q124</f>
        <v>120</v>
      </c>
      <c r="R148" s="2" t="s">
        <v>40</v>
      </c>
      <c r="U148" s="165" t="s">
        <v>335</v>
      </c>
      <c r="V148" s="2">
        <f t="shared" ref="V148:V149" si="19">V124</f>
        <v>60</v>
      </c>
      <c r="W148" s="2" t="s">
        <v>40</v>
      </c>
    </row>
    <row r="149" spans="1:23" ht="14.25" customHeight="1" x14ac:dyDescent="0.3">
      <c r="A149" s="2" t="s">
        <v>62</v>
      </c>
      <c r="B149" s="2">
        <f t="shared" si="15"/>
        <v>45</v>
      </c>
      <c r="C149" s="2" t="s">
        <v>6</v>
      </c>
      <c r="F149" s="2" t="s">
        <v>62</v>
      </c>
      <c r="G149" s="2">
        <f t="shared" si="16"/>
        <v>45</v>
      </c>
      <c r="H149" s="2" t="s">
        <v>6</v>
      </c>
      <c r="K149" s="2" t="s">
        <v>62</v>
      </c>
      <c r="L149" s="2">
        <f t="shared" si="17"/>
        <v>60</v>
      </c>
      <c r="M149" s="2" t="s">
        <v>6</v>
      </c>
      <c r="P149" s="2" t="s">
        <v>62</v>
      </c>
      <c r="Q149" s="2">
        <f t="shared" si="18"/>
        <v>60</v>
      </c>
      <c r="R149" s="2" t="s">
        <v>6</v>
      </c>
      <c r="U149" s="2" t="s">
        <v>62</v>
      </c>
      <c r="V149" s="2">
        <f t="shared" si="19"/>
        <v>30</v>
      </c>
      <c r="W149" s="2" t="s">
        <v>6</v>
      </c>
    </row>
    <row r="150" spans="1:23" ht="14.25" customHeight="1" x14ac:dyDescent="0.3">
      <c r="A150" s="2" t="s">
        <v>331</v>
      </c>
      <c r="B150" s="2">
        <v>54.77</v>
      </c>
      <c r="C150" s="2" t="s">
        <v>40</v>
      </c>
      <c r="F150" s="2" t="s">
        <v>331</v>
      </c>
      <c r="G150" s="2">
        <v>64.209999999999994</v>
      </c>
      <c r="H150" s="2" t="s">
        <v>40</v>
      </c>
      <c r="K150" s="2" t="s">
        <v>331</v>
      </c>
      <c r="L150" s="2">
        <f>L123</f>
        <v>67.459999999999994</v>
      </c>
      <c r="M150" s="2" t="s">
        <v>40</v>
      </c>
      <c r="P150" s="2" t="s">
        <v>331</v>
      </c>
      <c r="Q150" s="2">
        <f>Q123</f>
        <v>70.040000000000006</v>
      </c>
      <c r="R150" s="2" t="s">
        <v>40</v>
      </c>
      <c r="U150" s="2" t="s">
        <v>331</v>
      </c>
      <c r="V150" s="2">
        <f>V123</f>
        <v>32.19</v>
      </c>
      <c r="W150" s="2" t="s">
        <v>40</v>
      </c>
    </row>
    <row r="151" spans="1:23" ht="14.25" customHeight="1" x14ac:dyDescent="0.3">
      <c r="A151" s="2" t="s">
        <v>258</v>
      </c>
      <c r="B151" s="2">
        <f>B126</f>
        <v>54.77</v>
      </c>
      <c r="C151" s="2" t="s">
        <v>40</v>
      </c>
      <c r="F151" s="2" t="s">
        <v>258</v>
      </c>
      <c r="G151" s="2">
        <f>G126</f>
        <v>64.209999999999994</v>
      </c>
      <c r="H151" s="2" t="s">
        <v>40</v>
      </c>
      <c r="K151" s="2" t="s">
        <v>258</v>
      </c>
      <c r="L151" s="2">
        <f>L126</f>
        <v>67.459999999999994</v>
      </c>
      <c r="M151" s="2" t="s">
        <v>40</v>
      </c>
      <c r="P151" s="2" t="s">
        <v>258</v>
      </c>
      <c r="Q151" s="2">
        <f>Q126</f>
        <v>70.040000000000006</v>
      </c>
      <c r="R151" s="2" t="s">
        <v>40</v>
      </c>
      <c r="U151" s="2" t="s">
        <v>258</v>
      </c>
      <c r="V151" s="2">
        <f>V126</f>
        <v>32.19</v>
      </c>
      <c r="W151" s="2" t="s">
        <v>40</v>
      </c>
    </row>
    <row r="152" spans="1:23" ht="14.25" customHeight="1" x14ac:dyDescent="0.3">
      <c r="A152" s="2" t="s">
        <v>139</v>
      </c>
      <c r="B152" s="2">
        <f t="shared" ref="B152:B156" si="20">B128</f>
        <v>45</v>
      </c>
      <c r="C152" s="2" t="s">
        <v>6</v>
      </c>
      <c r="F152" s="2" t="s">
        <v>139</v>
      </c>
      <c r="G152" s="2">
        <f t="shared" ref="G152:G155" si="21">G128</f>
        <v>45</v>
      </c>
      <c r="H152" s="2" t="s">
        <v>6</v>
      </c>
      <c r="K152" s="2" t="s">
        <v>139</v>
      </c>
      <c r="L152" s="2">
        <f t="shared" ref="L152:L155" si="22">L128</f>
        <v>60</v>
      </c>
      <c r="M152" s="2" t="s">
        <v>6</v>
      </c>
      <c r="P152" s="2" t="s">
        <v>139</v>
      </c>
      <c r="Q152" s="2">
        <f t="shared" ref="Q152:Q156" si="23">Q128</f>
        <v>60</v>
      </c>
      <c r="R152" s="2" t="s">
        <v>6</v>
      </c>
      <c r="U152" s="2" t="s">
        <v>139</v>
      </c>
      <c r="V152" s="2">
        <f t="shared" ref="V152:V156" si="24">V128</f>
        <v>30</v>
      </c>
      <c r="W152" s="2" t="s">
        <v>6</v>
      </c>
    </row>
    <row r="153" spans="1:23" ht="14.25" customHeight="1" x14ac:dyDescent="0.3">
      <c r="A153" s="2" t="s">
        <v>259</v>
      </c>
      <c r="B153" s="2">
        <f t="shared" si="20"/>
        <v>40.28</v>
      </c>
      <c r="C153" s="2" t="s">
        <v>6</v>
      </c>
      <c r="F153" s="2" t="s">
        <v>259</v>
      </c>
      <c r="G153" s="2">
        <f t="shared" si="21"/>
        <v>41.65</v>
      </c>
      <c r="H153" s="2" t="s">
        <v>6</v>
      </c>
      <c r="K153" s="2" t="s">
        <v>259</v>
      </c>
      <c r="L153" s="2">
        <f t="shared" si="22"/>
        <v>55.3</v>
      </c>
      <c r="M153" s="2" t="s">
        <v>6</v>
      </c>
      <c r="P153" s="2" t="s">
        <v>259</v>
      </c>
      <c r="Q153" s="2">
        <f t="shared" si="23"/>
        <v>56.35</v>
      </c>
      <c r="R153" s="2" t="s">
        <v>6</v>
      </c>
      <c r="U153" s="2" t="s">
        <v>259</v>
      </c>
      <c r="V153" s="2">
        <f t="shared" si="24"/>
        <v>28.01</v>
      </c>
      <c r="W153" s="2" t="s">
        <v>6</v>
      </c>
    </row>
    <row r="154" spans="1:23" ht="14.25" customHeight="1" x14ac:dyDescent="0.3">
      <c r="A154" s="2" t="s">
        <v>145</v>
      </c>
      <c r="B154" s="168">
        <f t="shared" si="20"/>
        <v>5.6392000000000007</v>
      </c>
      <c r="C154" s="2" t="s">
        <v>34</v>
      </c>
      <c r="F154" s="2" t="s">
        <v>145</v>
      </c>
      <c r="G154" s="168">
        <f t="shared" si="21"/>
        <v>5.8310000000000004</v>
      </c>
      <c r="H154" s="2" t="s">
        <v>34</v>
      </c>
      <c r="K154" s="2" t="s">
        <v>145</v>
      </c>
      <c r="L154" s="168">
        <f t="shared" si="22"/>
        <v>7.742</v>
      </c>
      <c r="M154" s="2" t="s">
        <v>34</v>
      </c>
      <c r="P154" s="2" t="s">
        <v>145</v>
      </c>
      <c r="Q154" s="2">
        <f t="shared" si="23"/>
        <v>8.4</v>
      </c>
      <c r="R154" s="2" t="s">
        <v>35</v>
      </c>
      <c r="U154" s="2" t="s">
        <v>145</v>
      </c>
      <c r="V154" s="168">
        <f t="shared" si="24"/>
        <v>3.9214000000000007</v>
      </c>
      <c r="W154" s="2" t="s">
        <v>35</v>
      </c>
    </row>
    <row r="155" spans="1:23" ht="14.25" customHeight="1" x14ac:dyDescent="0.3">
      <c r="A155" s="2" t="s">
        <v>250</v>
      </c>
      <c r="B155" s="2">
        <f t="shared" si="20"/>
        <v>4.72</v>
      </c>
      <c r="C155" s="2" t="s">
        <v>6</v>
      </c>
      <c r="F155" s="2" t="s">
        <v>250</v>
      </c>
      <c r="G155" s="2">
        <f t="shared" si="21"/>
        <v>3.35</v>
      </c>
      <c r="H155" s="2" t="s">
        <v>6</v>
      </c>
      <c r="K155" s="2" t="s">
        <v>250</v>
      </c>
      <c r="L155" s="2">
        <f t="shared" si="22"/>
        <v>4.7</v>
      </c>
      <c r="M155" s="2" t="s">
        <v>6</v>
      </c>
      <c r="P155" s="2" t="s">
        <v>250</v>
      </c>
      <c r="Q155" s="2">
        <f t="shared" si="23"/>
        <v>3.65</v>
      </c>
      <c r="R155" s="2" t="s">
        <v>6</v>
      </c>
      <c r="U155" s="2" t="s">
        <v>250</v>
      </c>
      <c r="V155" s="2">
        <f t="shared" si="24"/>
        <v>1.99</v>
      </c>
      <c r="W155" s="2" t="s">
        <v>6</v>
      </c>
    </row>
    <row r="156" spans="1:23" ht="14.25" customHeight="1" x14ac:dyDescent="0.3">
      <c r="A156" s="2" t="s">
        <v>251</v>
      </c>
      <c r="B156" s="2">
        <f t="shared" si="20"/>
        <v>10.42</v>
      </c>
      <c r="C156" s="2" t="s">
        <v>40</v>
      </c>
      <c r="F156" s="2" t="s">
        <v>251</v>
      </c>
      <c r="G156" s="2">
        <f>G132</f>
        <v>6.21</v>
      </c>
      <c r="H156" s="2" t="s">
        <v>40</v>
      </c>
      <c r="K156" s="2" t="s">
        <v>251</v>
      </c>
      <c r="L156" s="2">
        <f>L132</f>
        <v>10.85</v>
      </c>
      <c r="M156" s="2" t="s">
        <v>40</v>
      </c>
      <c r="P156" s="2" t="s">
        <v>251</v>
      </c>
      <c r="Q156" s="2">
        <f t="shared" si="23"/>
        <v>6.45</v>
      </c>
      <c r="R156" s="2" t="s">
        <v>40</v>
      </c>
      <c r="U156" s="2" t="s">
        <v>251</v>
      </c>
      <c r="V156" s="2">
        <f t="shared" si="24"/>
        <v>4.32</v>
      </c>
      <c r="W156" s="2" t="s">
        <v>40</v>
      </c>
    </row>
    <row r="157" spans="1:23" ht="14.25" customHeight="1" x14ac:dyDescent="0.3">
      <c r="A157" s="360" t="s">
        <v>750</v>
      </c>
      <c r="B157" s="164">
        <f>B105+B113+B121</f>
        <v>160.68</v>
      </c>
      <c r="C157" s="164" t="s">
        <v>6</v>
      </c>
      <c r="F157" s="357" t="s">
        <v>750</v>
      </c>
      <c r="G157" s="2">
        <f>G105+G113+G121</f>
        <v>154.11000000000001</v>
      </c>
      <c r="H157" s="2" t="s">
        <v>6</v>
      </c>
      <c r="K157" s="357" t="s">
        <v>750</v>
      </c>
      <c r="L157" s="2">
        <f>L105+L113+L121</f>
        <v>199.52</v>
      </c>
      <c r="M157" s="2" t="s">
        <v>6</v>
      </c>
      <c r="P157" s="357" t="s">
        <v>750</v>
      </c>
      <c r="Q157" s="2">
        <f>Q105+Q113+Q121</f>
        <v>217.1</v>
      </c>
      <c r="R157" s="2" t="s">
        <v>6</v>
      </c>
      <c r="U157" s="357" t="s">
        <v>750</v>
      </c>
      <c r="V157" s="2">
        <f>V105+V113+V121</f>
        <v>106.03</v>
      </c>
      <c r="W157" s="2" t="s">
        <v>6</v>
      </c>
    </row>
    <row r="158" spans="1:23" ht="14.25" customHeight="1" x14ac:dyDescent="0.3">
      <c r="A158" s="358" t="s">
        <v>767</v>
      </c>
      <c r="B158" s="243">
        <f>(B113+B121+B127)*1.05</f>
        <v>198.55500000000001</v>
      </c>
      <c r="C158" s="358" t="s">
        <v>6</v>
      </c>
      <c r="F158" s="358" t="s">
        <v>767</v>
      </c>
      <c r="G158" s="243">
        <f>(G113+G121+G127)*1.05</f>
        <v>182.50050000000002</v>
      </c>
      <c r="H158" s="358" t="s">
        <v>6</v>
      </c>
      <c r="K158" s="358" t="s">
        <v>767</v>
      </c>
      <c r="L158" s="243">
        <f>(L113+L121+L127)*1.05</f>
        <v>243.23250000000002</v>
      </c>
      <c r="M158" s="358" t="s">
        <v>6</v>
      </c>
      <c r="P158" s="358" t="s">
        <v>767</v>
      </c>
      <c r="Q158" s="243">
        <f>(Q113+Q121+Q127)*1.05</f>
        <v>266.71050000000002</v>
      </c>
      <c r="R158" s="358" t="s">
        <v>6</v>
      </c>
      <c r="U158" s="358" t="s">
        <v>767</v>
      </c>
      <c r="V158" s="243">
        <f>(V113+V121+V127)*1.05</f>
        <v>137.22450000000001</v>
      </c>
      <c r="W158" s="358" t="s">
        <v>6</v>
      </c>
    </row>
    <row r="159" spans="1:23" ht="14.25" customHeight="1" x14ac:dyDescent="0.3">
      <c r="A159" s="358" t="s">
        <v>768</v>
      </c>
      <c r="B159" s="167">
        <f>0.9*B158</f>
        <v>178.6995</v>
      </c>
      <c r="C159" s="358" t="s">
        <v>40</v>
      </c>
      <c r="F159" s="358" t="s">
        <v>768</v>
      </c>
      <c r="G159" s="167">
        <f>0.9*G158</f>
        <v>164.25045000000003</v>
      </c>
      <c r="H159" s="358" t="s">
        <v>40</v>
      </c>
      <c r="K159" s="358" t="s">
        <v>768</v>
      </c>
      <c r="L159" s="167">
        <f>0.9*L158</f>
        <v>218.90925000000001</v>
      </c>
      <c r="M159" s="358" t="s">
        <v>40</v>
      </c>
      <c r="P159" s="358" t="s">
        <v>768</v>
      </c>
      <c r="Q159" s="167">
        <f>0.9*Q158</f>
        <v>240.03945000000002</v>
      </c>
      <c r="R159" s="358" t="s">
        <v>40</v>
      </c>
      <c r="U159" s="358" t="s">
        <v>768</v>
      </c>
      <c r="V159" s="167">
        <f>0.9*V158</f>
        <v>123.50205000000001</v>
      </c>
      <c r="W159" s="358" t="s">
        <v>40</v>
      </c>
    </row>
    <row r="160" spans="1:23" ht="14.25" customHeight="1" x14ac:dyDescent="0.3">
      <c r="A160" s="377" t="s">
        <v>769</v>
      </c>
      <c r="B160" s="380">
        <f>1*B113+2*B105</f>
        <v>132.26</v>
      </c>
      <c r="C160" s="380" t="s">
        <v>40</v>
      </c>
      <c r="F160" s="377" t="s">
        <v>769</v>
      </c>
      <c r="G160" s="380">
        <f>1*G113+2*G105</f>
        <v>134.41</v>
      </c>
      <c r="H160" s="380" t="s">
        <v>40</v>
      </c>
      <c r="K160" s="377" t="s">
        <v>769</v>
      </c>
      <c r="L160" s="380">
        <f>1*L113+2*L105</f>
        <v>167.39000000000001</v>
      </c>
      <c r="M160" s="380" t="s">
        <v>40</v>
      </c>
      <c r="P160" s="377" t="s">
        <v>769</v>
      </c>
      <c r="Q160" s="380">
        <f>1*Q113+2*Q105</f>
        <v>180.19</v>
      </c>
      <c r="R160" s="380" t="s">
        <v>40</v>
      </c>
      <c r="U160" s="377" t="s">
        <v>769</v>
      </c>
      <c r="V160" s="380">
        <f>1*V113+2*V105</f>
        <v>81.37</v>
      </c>
      <c r="W160" s="380" t="s">
        <v>40</v>
      </c>
    </row>
    <row r="161" spans="1:23" ht="14.25" customHeight="1" x14ac:dyDescent="0.3">
      <c r="A161" s="378" t="s">
        <v>770</v>
      </c>
      <c r="B161" s="378">
        <f>B121</f>
        <v>45</v>
      </c>
      <c r="C161" s="378" t="s">
        <v>6</v>
      </c>
      <c r="F161" s="378" t="s">
        <v>770</v>
      </c>
      <c r="G161" s="378">
        <f>G121</f>
        <v>45</v>
      </c>
      <c r="H161" s="378" t="s">
        <v>6</v>
      </c>
      <c r="K161" s="378" t="s">
        <v>770</v>
      </c>
      <c r="L161" s="378">
        <f>L121</f>
        <v>60</v>
      </c>
      <c r="M161" s="378" t="s">
        <v>6</v>
      </c>
      <c r="P161" s="378" t="s">
        <v>770</v>
      </c>
      <c r="Q161" s="378">
        <f>Q121</f>
        <v>60</v>
      </c>
      <c r="R161" s="378" t="s">
        <v>6</v>
      </c>
      <c r="U161" s="378" t="s">
        <v>770</v>
      </c>
      <c r="V161" s="378">
        <f>V121</f>
        <v>30</v>
      </c>
      <c r="W161" s="378" t="s">
        <v>6</v>
      </c>
    </row>
    <row r="162" spans="1:23" ht="14.25" customHeight="1" x14ac:dyDescent="0.25"/>
    <row r="163" spans="1:23" ht="14.25" customHeight="1" x14ac:dyDescent="0.25"/>
    <row r="164" spans="1:23" ht="14.25" customHeight="1" x14ac:dyDescent="0.25"/>
    <row r="165" spans="1:23" ht="14.25" customHeight="1" x14ac:dyDescent="0.3">
      <c r="A165" s="114" t="s">
        <v>212</v>
      </c>
      <c r="B165" s="114" t="s">
        <v>20</v>
      </c>
      <c r="C165" s="114" t="s">
        <v>21</v>
      </c>
    </row>
    <row r="166" spans="1:23" ht="14.25" customHeight="1" x14ac:dyDescent="0.3">
      <c r="A166" s="749" t="s">
        <v>219</v>
      </c>
      <c r="B166" s="743"/>
      <c r="C166" s="744"/>
    </row>
    <row r="167" spans="1:23" ht="14.25" customHeight="1" x14ac:dyDescent="0.3">
      <c r="A167" s="357" t="s">
        <v>566</v>
      </c>
      <c r="B167" s="2">
        <v>1</v>
      </c>
      <c r="C167" s="2" t="s">
        <v>40</v>
      </c>
    </row>
    <row r="168" spans="1:23" ht="14.25" customHeight="1" x14ac:dyDescent="0.3">
      <c r="A168" s="357" t="s">
        <v>567</v>
      </c>
      <c r="B168" s="2">
        <v>2.5</v>
      </c>
      <c r="C168" s="2" t="s">
        <v>40</v>
      </c>
    </row>
    <row r="169" spans="1:23" ht="14.25" customHeight="1" x14ac:dyDescent="0.3">
      <c r="A169" s="2" t="s">
        <v>44</v>
      </c>
      <c r="B169" s="2">
        <v>8</v>
      </c>
      <c r="C169" s="2" t="s">
        <v>25</v>
      </c>
    </row>
    <row r="170" spans="1:23" ht="14.25" customHeight="1" x14ac:dyDescent="0.3">
      <c r="A170" s="2" t="s">
        <v>45</v>
      </c>
      <c r="B170" s="2">
        <v>26</v>
      </c>
      <c r="C170" s="2" t="s">
        <v>25</v>
      </c>
    </row>
    <row r="171" spans="1:23" ht="14.25" customHeight="1" x14ac:dyDescent="0.3">
      <c r="A171" s="2" t="s">
        <v>233</v>
      </c>
      <c r="B171" s="2">
        <v>3.3</v>
      </c>
      <c r="C171" s="2" t="s">
        <v>40</v>
      </c>
    </row>
    <row r="172" spans="1:23" ht="14.25" customHeight="1" x14ac:dyDescent="0.3">
      <c r="A172" s="2" t="s">
        <v>43</v>
      </c>
      <c r="B172" s="2">
        <v>0.11</v>
      </c>
      <c r="C172" s="2" t="s">
        <v>34</v>
      </c>
    </row>
    <row r="173" spans="1:23" ht="14.25" customHeight="1" x14ac:dyDescent="0.3">
      <c r="A173" s="2" t="s">
        <v>236</v>
      </c>
      <c r="B173" s="2">
        <v>2.0499999999999998</v>
      </c>
      <c r="C173" s="2" t="s">
        <v>6</v>
      </c>
    </row>
    <row r="174" spans="1:23" ht="14.25" customHeight="1" x14ac:dyDescent="0.3">
      <c r="A174" s="749" t="s">
        <v>239</v>
      </c>
      <c r="B174" s="743"/>
      <c r="C174" s="744"/>
    </row>
    <row r="175" spans="1:23" ht="14.25" customHeight="1" x14ac:dyDescent="0.3">
      <c r="A175" s="357" t="s">
        <v>566</v>
      </c>
      <c r="B175" s="2">
        <v>1</v>
      </c>
      <c r="C175" s="2" t="s">
        <v>40</v>
      </c>
    </row>
    <row r="176" spans="1:23" ht="14.25" customHeight="1" x14ac:dyDescent="0.3">
      <c r="A176" s="357" t="s">
        <v>567</v>
      </c>
      <c r="B176" s="2">
        <v>2.5</v>
      </c>
      <c r="C176" s="2" t="s">
        <v>40</v>
      </c>
    </row>
    <row r="177" spans="1:15" ht="14.25" customHeight="1" x14ac:dyDescent="0.3">
      <c r="A177" s="2" t="s">
        <v>44</v>
      </c>
      <c r="B177" s="2">
        <v>8</v>
      </c>
      <c r="C177" s="2" t="s">
        <v>25</v>
      </c>
    </row>
    <row r="178" spans="1:15" ht="14.25" customHeight="1" x14ac:dyDescent="0.3">
      <c r="A178" s="2" t="s">
        <v>45</v>
      </c>
      <c r="B178" s="2">
        <v>13</v>
      </c>
      <c r="C178" s="2" t="s">
        <v>25</v>
      </c>
    </row>
    <row r="179" spans="1:15" ht="14.25" customHeight="1" x14ac:dyDescent="0.3">
      <c r="A179" s="2" t="s">
        <v>233</v>
      </c>
      <c r="B179" s="2">
        <v>1.65</v>
      </c>
      <c r="C179" s="2" t="s">
        <v>40</v>
      </c>
      <c r="G179" t="s">
        <v>339</v>
      </c>
      <c r="I179" t="s">
        <v>340</v>
      </c>
      <c r="L179" t="s">
        <v>346</v>
      </c>
      <c r="N179" t="s">
        <v>352</v>
      </c>
      <c r="O179" t="s">
        <v>353</v>
      </c>
    </row>
    <row r="180" spans="1:15" ht="14.25" customHeight="1" x14ac:dyDescent="0.3">
      <c r="A180" s="2" t="s">
        <v>43</v>
      </c>
      <c r="B180" s="2">
        <v>0.05</v>
      </c>
      <c r="C180" s="2" t="s">
        <v>34</v>
      </c>
      <c r="F180" t="s">
        <v>349</v>
      </c>
      <c r="G180">
        <v>10.272</v>
      </c>
      <c r="I180">
        <v>10.036</v>
      </c>
      <c r="L180">
        <v>13.071999999999999</v>
      </c>
      <c r="N180">
        <v>10.35</v>
      </c>
      <c r="O180">
        <v>8.43</v>
      </c>
    </row>
    <row r="181" spans="1:15" ht="14.25" customHeight="1" x14ac:dyDescent="0.3">
      <c r="A181" s="2" t="s">
        <v>236</v>
      </c>
      <c r="B181" s="164">
        <v>1.05</v>
      </c>
      <c r="C181" s="164" t="s">
        <v>6</v>
      </c>
      <c r="F181" t="s">
        <v>347</v>
      </c>
      <c r="G181">
        <v>58.627000000000002</v>
      </c>
    </row>
    <row r="182" spans="1:15" ht="14.25" customHeight="1" x14ac:dyDescent="0.3">
      <c r="A182" s="749" t="s">
        <v>248</v>
      </c>
      <c r="B182" s="746"/>
      <c r="C182" s="747"/>
      <c r="F182" t="s">
        <v>348</v>
      </c>
      <c r="G182">
        <v>114.124</v>
      </c>
    </row>
    <row r="183" spans="1:15" ht="14.25" customHeight="1" x14ac:dyDescent="0.3">
      <c r="A183" s="2" t="s">
        <v>336</v>
      </c>
      <c r="B183" s="164">
        <v>5</v>
      </c>
      <c r="C183" s="164" t="s">
        <v>25</v>
      </c>
      <c r="F183" t="s">
        <v>341</v>
      </c>
      <c r="G183">
        <f>SUM(G181+G182)</f>
        <v>172.751</v>
      </c>
      <c r="I183">
        <f>316.61/2</f>
        <v>158.30500000000001</v>
      </c>
      <c r="L183">
        <v>192.36699999999999</v>
      </c>
      <c r="N183">
        <v>213.7</v>
      </c>
      <c r="O183">
        <v>114.124</v>
      </c>
    </row>
    <row r="184" spans="1:15" ht="14.25" customHeight="1" x14ac:dyDescent="0.3">
      <c r="A184" s="165" t="s">
        <v>335</v>
      </c>
      <c r="B184" s="167">
        <v>2</v>
      </c>
      <c r="C184" s="167" t="s">
        <v>40</v>
      </c>
    </row>
    <row r="185" spans="1:15" ht="14.25" customHeight="1" x14ac:dyDescent="0.3">
      <c r="A185" s="166" t="s">
        <v>62</v>
      </c>
      <c r="B185" s="167">
        <v>1</v>
      </c>
      <c r="C185" s="167" t="s">
        <v>6</v>
      </c>
      <c r="F185" t="s">
        <v>342</v>
      </c>
      <c r="G185">
        <v>1.696</v>
      </c>
      <c r="I185">
        <f>G185</f>
        <v>1.696</v>
      </c>
    </row>
    <row r="186" spans="1:15" ht="14.25" customHeight="1" x14ac:dyDescent="0.3">
      <c r="A186" s="749" t="s">
        <v>137</v>
      </c>
      <c r="B186" s="746"/>
      <c r="C186" s="747"/>
      <c r="F186" t="s">
        <v>343</v>
      </c>
      <c r="G186">
        <v>2.9239999999999999</v>
      </c>
      <c r="I186">
        <f>G186</f>
        <v>2.9239999999999999</v>
      </c>
      <c r="L186">
        <f>G186*2</f>
        <v>5.8479999999999999</v>
      </c>
      <c r="N186">
        <v>5.8479999999999999</v>
      </c>
      <c r="O186">
        <v>2.9239999999999999</v>
      </c>
    </row>
    <row r="187" spans="1:15" ht="14.25" customHeight="1" x14ac:dyDescent="0.3">
      <c r="A187" s="2" t="s">
        <v>139</v>
      </c>
      <c r="B187" s="2">
        <v>1</v>
      </c>
      <c r="C187" s="2" t="s">
        <v>6</v>
      </c>
    </row>
    <row r="188" spans="1:15" ht="14.25" customHeight="1" x14ac:dyDescent="0.3">
      <c r="A188" s="2" t="s">
        <v>140</v>
      </c>
      <c r="B188" s="2">
        <v>1</v>
      </c>
      <c r="C188" s="2" t="s">
        <v>6</v>
      </c>
    </row>
    <row r="189" spans="1:15" ht="14.25" customHeight="1" x14ac:dyDescent="0.3">
      <c r="A189" s="2" t="s">
        <v>145</v>
      </c>
      <c r="B189" s="2">
        <v>0.14000000000000001</v>
      </c>
      <c r="C189" s="2" t="s">
        <v>34</v>
      </c>
    </row>
    <row r="190" spans="1:15" ht="14.25" customHeight="1" x14ac:dyDescent="0.3">
      <c r="A190" s="2" t="s">
        <v>250</v>
      </c>
      <c r="B190" s="2">
        <v>1</v>
      </c>
      <c r="C190" s="2" t="s">
        <v>6</v>
      </c>
    </row>
    <row r="191" spans="1:15" ht="14.25" customHeight="1" x14ac:dyDescent="0.3">
      <c r="A191" s="2" t="s">
        <v>69</v>
      </c>
      <c r="B191" s="2">
        <v>4</v>
      </c>
      <c r="C191" s="2" t="s">
        <v>34</v>
      </c>
    </row>
    <row r="192" spans="1:15" ht="14.25" customHeight="1" x14ac:dyDescent="0.3">
      <c r="A192" s="2" t="s">
        <v>74</v>
      </c>
      <c r="B192" s="379">
        <v>0.39</v>
      </c>
      <c r="C192" s="164" t="s">
        <v>34</v>
      </c>
    </row>
    <row r="193" spans="1:4" ht="14.25" customHeight="1" x14ac:dyDescent="0.3">
      <c r="A193" s="749" t="s">
        <v>28</v>
      </c>
      <c r="B193" s="746"/>
      <c r="C193" s="747"/>
    </row>
    <row r="194" spans="1:4" ht="14.25" customHeight="1" x14ac:dyDescent="0.3">
      <c r="A194" s="2" t="s">
        <v>33</v>
      </c>
      <c r="B194" s="2">
        <v>0.66</v>
      </c>
      <c r="C194" s="2" t="s">
        <v>35</v>
      </c>
      <c r="D194" t="s">
        <v>345</v>
      </c>
    </row>
    <row r="195" spans="1:4" ht="14.25" customHeight="1" x14ac:dyDescent="0.3">
      <c r="A195" s="2" t="s">
        <v>36</v>
      </c>
      <c r="B195" s="2">
        <v>0.08</v>
      </c>
      <c r="C195" s="2" t="s">
        <v>35</v>
      </c>
    </row>
    <row r="196" spans="1:4" ht="14.25" customHeight="1" x14ac:dyDescent="0.3">
      <c r="A196" s="164" t="s">
        <v>38</v>
      </c>
      <c r="B196" s="164">
        <v>0.1</v>
      </c>
      <c r="C196" s="164" t="s">
        <v>35</v>
      </c>
      <c r="D196" t="s">
        <v>344</v>
      </c>
    </row>
    <row r="197" spans="1:4" ht="14.25" customHeight="1" x14ac:dyDescent="0.3">
      <c r="A197" s="167" t="s">
        <v>75</v>
      </c>
      <c r="B197" s="167">
        <v>0.25</v>
      </c>
      <c r="C197" s="167" t="s">
        <v>35</v>
      </c>
    </row>
    <row r="198" spans="1:4" ht="14.25" customHeight="1" x14ac:dyDescent="0.3">
      <c r="A198" s="157"/>
      <c r="B198" s="157"/>
      <c r="C198" s="157"/>
    </row>
    <row r="199" spans="1:4" ht="14.25" customHeight="1" x14ac:dyDescent="0.25"/>
    <row r="200" spans="1:4" ht="14.25" customHeight="1" x14ac:dyDescent="0.25"/>
    <row r="201" spans="1:4" ht="14.25" customHeight="1" x14ac:dyDescent="0.25"/>
    <row r="202" spans="1:4" ht="14.25" customHeight="1" x14ac:dyDescent="0.25"/>
    <row r="203" spans="1:4" ht="14.25" customHeight="1" x14ac:dyDescent="0.25"/>
    <row r="204" spans="1:4" ht="14.25" customHeight="1" x14ac:dyDescent="0.25"/>
    <row r="205" spans="1:4" ht="14.25" customHeight="1" x14ac:dyDescent="0.25"/>
    <row r="206" spans="1:4" ht="14.25" customHeight="1" x14ac:dyDescent="0.25"/>
    <row r="207" spans="1:4" ht="14.25" customHeight="1" x14ac:dyDescent="0.25"/>
    <row r="208" spans="1:4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  <row r="1004" ht="14.25" customHeight="1" x14ac:dyDescent="0.25"/>
    <row r="1005" ht="14.25" customHeight="1" x14ac:dyDescent="0.25"/>
    <row r="1006" ht="14.25" customHeight="1" x14ac:dyDescent="0.25"/>
    <row r="1007" ht="14.25" customHeight="1" x14ac:dyDescent="0.25"/>
    <row r="1008" ht="14.25" customHeight="1" x14ac:dyDescent="0.25"/>
    <row r="1009" ht="14.25" customHeight="1" x14ac:dyDescent="0.25"/>
    <row r="1010" ht="14.25" customHeight="1" x14ac:dyDescent="0.25"/>
    <row r="1011" ht="14.25" customHeight="1" x14ac:dyDescent="0.25"/>
    <row r="1012" ht="14.25" customHeight="1" x14ac:dyDescent="0.25"/>
    <row r="1013" ht="14.25" customHeight="1" x14ac:dyDescent="0.25"/>
    <row r="1014" ht="14.25" customHeight="1" x14ac:dyDescent="0.25"/>
    <row r="1015" ht="14.25" customHeight="1" x14ac:dyDescent="0.25"/>
    <row r="1016" ht="14.25" customHeight="1" x14ac:dyDescent="0.25"/>
    <row r="1017" ht="14.25" customHeight="1" x14ac:dyDescent="0.25"/>
    <row r="1018" ht="14.25" customHeight="1" x14ac:dyDescent="0.25"/>
  </sheetData>
  <mergeCells count="75">
    <mergeCell ref="U140:W140"/>
    <mergeCell ref="P140:R140"/>
    <mergeCell ref="K140:M140"/>
    <mergeCell ref="P1:R1"/>
    <mergeCell ref="P9:R9"/>
    <mergeCell ref="K9:M9"/>
    <mergeCell ref="K5:M5"/>
    <mergeCell ref="U95:W95"/>
    <mergeCell ref="U92:W92"/>
    <mergeCell ref="U87:W87"/>
    <mergeCell ref="U90:W90"/>
    <mergeCell ref="U74:W74"/>
    <mergeCell ref="P63:R63"/>
    <mergeCell ref="U63:W63"/>
    <mergeCell ref="P57:R57"/>
    <mergeCell ref="P95:R95"/>
    <mergeCell ref="F140:H140"/>
    <mergeCell ref="K92:M92"/>
    <mergeCell ref="P92:R92"/>
    <mergeCell ref="K87:M87"/>
    <mergeCell ref="K95:M95"/>
    <mergeCell ref="P87:R87"/>
    <mergeCell ref="K90:M90"/>
    <mergeCell ref="P90:R90"/>
    <mergeCell ref="A9:C9"/>
    <mergeCell ref="F9:H9"/>
    <mergeCell ref="A193:C193"/>
    <mergeCell ref="A87:C87"/>
    <mergeCell ref="A90:C90"/>
    <mergeCell ref="F92:H92"/>
    <mergeCell ref="A92:C92"/>
    <mergeCell ref="A186:C186"/>
    <mergeCell ref="A182:C182"/>
    <mergeCell ref="A95:C95"/>
    <mergeCell ref="F90:H90"/>
    <mergeCell ref="F87:H87"/>
    <mergeCell ref="F95:H95"/>
    <mergeCell ref="A140:C140"/>
    <mergeCell ref="A166:C166"/>
    <mergeCell ref="A174:C174"/>
    <mergeCell ref="K57:M57"/>
    <mergeCell ref="P74:R74"/>
    <mergeCell ref="K31:M31"/>
    <mergeCell ref="K48:M48"/>
    <mergeCell ref="A31:C31"/>
    <mergeCell ref="F31:H31"/>
    <mergeCell ref="K74:M74"/>
    <mergeCell ref="F74:H74"/>
    <mergeCell ref="A74:C74"/>
    <mergeCell ref="K63:M63"/>
    <mergeCell ref="F63:H63"/>
    <mergeCell ref="A63:C63"/>
    <mergeCell ref="A57:C57"/>
    <mergeCell ref="F57:H57"/>
    <mergeCell ref="A1:C1"/>
    <mergeCell ref="F1:H1"/>
    <mergeCell ref="A5:C5"/>
    <mergeCell ref="U1:W1"/>
    <mergeCell ref="U57:W57"/>
    <mergeCell ref="U5:W5"/>
    <mergeCell ref="P5:R5"/>
    <mergeCell ref="U9:W9"/>
    <mergeCell ref="U48:W48"/>
    <mergeCell ref="P48:R48"/>
    <mergeCell ref="U31:W31"/>
    <mergeCell ref="P31:R31"/>
    <mergeCell ref="F5:H5"/>
    <mergeCell ref="A48:C48"/>
    <mergeCell ref="F48:H48"/>
    <mergeCell ref="K1:M1"/>
    <mergeCell ref="A82:C82"/>
    <mergeCell ref="F82:H82"/>
    <mergeCell ref="K82:M82"/>
    <mergeCell ref="P82:R82"/>
    <mergeCell ref="U82:W82"/>
  </mergeCells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>
      <selection sqref="A1:J2"/>
    </sheetView>
  </sheetViews>
  <sheetFormatPr baseColWidth="10" defaultColWidth="12.59765625" defaultRowHeight="15" customHeight="1" x14ac:dyDescent="0.25"/>
  <cols>
    <col min="1" max="1" width="33.3984375" customWidth="1"/>
    <col min="2" max="2" width="14.59765625" customWidth="1"/>
    <col min="3" max="10" width="16.3984375" customWidth="1"/>
    <col min="11" max="11" width="9.69921875" customWidth="1"/>
    <col min="12" max="12" width="8.59765625" customWidth="1"/>
    <col min="13" max="26" width="9.3984375" customWidth="1"/>
  </cols>
  <sheetData>
    <row r="1" spans="1:11" ht="14.25" customHeight="1" x14ac:dyDescent="0.25">
      <c r="A1" s="755" t="s">
        <v>1</v>
      </c>
      <c r="B1" s="756"/>
      <c r="C1" s="756"/>
      <c r="D1" s="756"/>
      <c r="E1" s="756"/>
      <c r="F1" s="756"/>
      <c r="G1" s="756"/>
      <c r="H1" s="756"/>
      <c r="I1" s="756"/>
      <c r="J1" s="757"/>
    </row>
    <row r="2" spans="1:11" ht="14.25" customHeight="1" x14ac:dyDescent="0.25">
      <c r="A2" s="758"/>
      <c r="B2" s="759"/>
      <c r="C2" s="759"/>
      <c r="D2" s="759"/>
      <c r="E2" s="759"/>
      <c r="F2" s="759"/>
      <c r="G2" s="759"/>
      <c r="H2" s="759"/>
      <c r="I2" s="759"/>
      <c r="J2" s="760"/>
    </row>
    <row r="3" spans="1:11" ht="14.25" customHeight="1" x14ac:dyDescent="0.3">
      <c r="A3" s="765" t="s">
        <v>11</v>
      </c>
      <c r="B3" s="767" t="s">
        <v>17</v>
      </c>
      <c r="C3" s="751" t="s">
        <v>23</v>
      </c>
      <c r="D3" s="752"/>
      <c r="E3" s="753" t="s">
        <v>27</v>
      </c>
      <c r="F3" s="754"/>
      <c r="G3" s="751" t="s">
        <v>29</v>
      </c>
      <c r="H3" s="752"/>
      <c r="I3" s="753" t="s">
        <v>30</v>
      </c>
      <c r="J3" s="752"/>
    </row>
    <row r="4" spans="1:11" ht="14.25" customHeight="1" x14ac:dyDescent="0.3">
      <c r="A4" s="766"/>
      <c r="B4" s="768"/>
      <c r="C4" s="3" t="s">
        <v>31</v>
      </c>
      <c r="D4" s="4" t="s">
        <v>32</v>
      </c>
      <c r="E4" s="5" t="s">
        <v>31</v>
      </c>
      <c r="F4" s="6" t="s">
        <v>32</v>
      </c>
      <c r="G4" s="3" t="s">
        <v>31</v>
      </c>
      <c r="H4" s="4" t="s">
        <v>32</v>
      </c>
      <c r="I4" s="5" t="s">
        <v>31</v>
      </c>
      <c r="J4" s="4" t="s">
        <v>32</v>
      </c>
    </row>
    <row r="5" spans="1:11" ht="14.25" customHeight="1" x14ac:dyDescent="0.3">
      <c r="A5" s="7" t="s">
        <v>37</v>
      </c>
      <c r="B5" s="8">
        <v>2</v>
      </c>
      <c r="C5" s="9">
        <v>2</v>
      </c>
      <c r="D5" s="10">
        <f t="shared" ref="D5:D9" si="0">B5*C5</f>
        <v>4</v>
      </c>
      <c r="E5" s="11">
        <v>2</v>
      </c>
      <c r="F5" s="12">
        <f t="shared" ref="F5:F9" si="1">B5*E5</f>
        <v>4</v>
      </c>
      <c r="G5" s="9">
        <v>2</v>
      </c>
      <c r="H5" s="10">
        <f t="shared" ref="H5:H9" si="2">B5*G5</f>
        <v>4</v>
      </c>
      <c r="I5" s="11">
        <v>4</v>
      </c>
      <c r="J5" s="10">
        <f t="shared" ref="J5:J9" si="3">B5*I5</f>
        <v>8</v>
      </c>
    </row>
    <row r="6" spans="1:11" ht="14.25" customHeight="1" x14ac:dyDescent="0.3">
      <c r="A6" s="13" t="s">
        <v>41</v>
      </c>
      <c r="B6" s="14">
        <v>2.2999999999999998</v>
      </c>
      <c r="C6" s="15">
        <v>4</v>
      </c>
      <c r="D6" s="16">
        <f t="shared" si="0"/>
        <v>9.1999999999999993</v>
      </c>
      <c r="E6" s="17">
        <v>1</v>
      </c>
      <c r="F6" s="18">
        <f t="shared" si="1"/>
        <v>2.2999999999999998</v>
      </c>
      <c r="G6" s="15">
        <v>3</v>
      </c>
      <c r="H6" s="16">
        <f t="shared" si="2"/>
        <v>6.8999999999999995</v>
      </c>
      <c r="I6" s="17">
        <v>3</v>
      </c>
      <c r="J6" s="16">
        <f t="shared" si="3"/>
        <v>6.8999999999999995</v>
      </c>
    </row>
    <row r="7" spans="1:11" ht="14.25" customHeight="1" x14ac:dyDescent="0.3">
      <c r="A7" s="13" t="s">
        <v>47</v>
      </c>
      <c r="B7" s="14">
        <v>3</v>
      </c>
      <c r="C7" s="15">
        <v>1</v>
      </c>
      <c r="D7" s="16">
        <f t="shared" si="0"/>
        <v>3</v>
      </c>
      <c r="E7" s="17">
        <v>3</v>
      </c>
      <c r="F7" s="18">
        <f t="shared" si="1"/>
        <v>9</v>
      </c>
      <c r="G7" s="15">
        <v>4</v>
      </c>
      <c r="H7" s="16">
        <f t="shared" si="2"/>
        <v>12</v>
      </c>
      <c r="I7" s="17">
        <v>1</v>
      </c>
      <c r="J7" s="16">
        <f t="shared" si="3"/>
        <v>3</v>
      </c>
    </row>
    <row r="8" spans="1:11" ht="14.25" customHeight="1" x14ac:dyDescent="0.3">
      <c r="A8" s="13" t="s">
        <v>55</v>
      </c>
      <c r="B8" s="14">
        <v>1.7</v>
      </c>
      <c r="C8" s="15">
        <v>1</v>
      </c>
      <c r="D8" s="16">
        <f t="shared" si="0"/>
        <v>1.7</v>
      </c>
      <c r="E8" s="17">
        <v>2</v>
      </c>
      <c r="F8" s="18">
        <f t="shared" si="1"/>
        <v>3.4</v>
      </c>
      <c r="G8" s="15">
        <v>3</v>
      </c>
      <c r="H8" s="16">
        <f t="shared" si="2"/>
        <v>5.0999999999999996</v>
      </c>
      <c r="I8" s="17">
        <v>4</v>
      </c>
      <c r="J8" s="16">
        <f t="shared" si="3"/>
        <v>6.8</v>
      </c>
    </row>
    <row r="9" spans="1:11" ht="14.25" customHeight="1" x14ac:dyDescent="0.3">
      <c r="A9" s="21" t="s">
        <v>59</v>
      </c>
      <c r="B9" s="22">
        <v>1</v>
      </c>
      <c r="C9" s="24">
        <v>3</v>
      </c>
      <c r="D9" s="26">
        <f t="shared" si="0"/>
        <v>3</v>
      </c>
      <c r="E9" s="28">
        <v>2</v>
      </c>
      <c r="F9" s="29">
        <f t="shared" si="1"/>
        <v>2</v>
      </c>
      <c r="G9" s="24">
        <v>1</v>
      </c>
      <c r="H9" s="26">
        <f t="shared" si="2"/>
        <v>1</v>
      </c>
      <c r="I9" s="28">
        <v>4</v>
      </c>
      <c r="J9" s="26">
        <f t="shared" si="3"/>
        <v>4</v>
      </c>
    </row>
    <row r="10" spans="1:11" ht="14.25" customHeight="1" x14ac:dyDescent="0.3">
      <c r="A10" s="30" t="s">
        <v>67</v>
      </c>
      <c r="B10" s="31">
        <f>SUM(B5:B9)</f>
        <v>10</v>
      </c>
      <c r="C10" s="32"/>
      <c r="D10" s="33">
        <f>SUM(D5:D9)</f>
        <v>20.9</v>
      </c>
      <c r="E10" s="34"/>
      <c r="F10" s="35">
        <f>SUM(F5:F9)</f>
        <v>20.7</v>
      </c>
      <c r="G10" s="36"/>
      <c r="H10" s="37">
        <f>SUM(H5:H9)</f>
        <v>29</v>
      </c>
      <c r="I10" s="38"/>
      <c r="J10" s="37">
        <f>SUM(J5:J9)</f>
        <v>28.7</v>
      </c>
    </row>
    <row r="11" spans="1:11" ht="14.25" customHeight="1" x14ac:dyDescent="0.25"/>
    <row r="12" spans="1:11" ht="14.25" customHeight="1" x14ac:dyDescent="0.25"/>
    <row r="13" spans="1:11" ht="14.25" customHeight="1" x14ac:dyDescent="0.25"/>
    <row r="14" spans="1:11" ht="14.25" customHeight="1" x14ac:dyDescent="0.3">
      <c r="A14" s="772" t="s">
        <v>88</v>
      </c>
      <c r="B14" s="764"/>
      <c r="C14" s="764"/>
      <c r="D14" s="764"/>
      <c r="E14" s="764"/>
      <c r="F14" s="764"/>
      <c r="G14" s="752"/>
    </row>
    <row r="15" spans="1:11" ht="14.25" customHeight="1" x14ac:dyDescent="0.3">
      <c r="A15" s="761" t="s">
        <v>91</v>
      </c>
      <c r="B15" s="740"/>
      <c r="C15" s="740"/>
      <c r="D15" s="740"/>
      <c r="E15" s="740"/>
      <c r="F15" s="740"/>
      <c r="G15" s="762"/>
    </row>
    <row r="16" spans="1:11" ht="14.25" customHeight="1" x14ac:dyDescent="0.3">
      <c r="A16" s="39" t="s">
        <v>94</v>
      </c>
      <c r="B16" s="40" t="s">
        <v>98</v>
      </c>
      <c r="C16" s="41" t="s">
        <v>101</v>
      </c>
      <c r="D16" s="42" t="s">
        <v>103</v>
      </c>
      <c r="E16" s="43" t="s">
        <v>105</v>
      </c>
      <c r="F16" s="43" t="s">
        <v>107</v>
      </c>
      <c r="G16" s="44" t="s">
        <v>109</v>
      </c>
      <c r="K16" s="46"/>
    </row>
    <row r="17" spans="1:26" ht="14.25" customHeight="1" x14ac:dyDescent="0.3">
      <c r="A17" s="47" t="s">
        <v>114</v>
      </c>
      <c r="B17" s="48">
        <v>20000</v>
      </c>
      <c r="C17" s="49">
        <v>408000</v>
      </c>
      <c r="D17" s="50">
        <v>32107</v>
      </c>
      <c r="E17" s="52">
        <f t="shared" ref="E17:E20" si="4">SUM(B17:D17)</f>
        <v>460107</v>
      </c>
      <c r="F17" s="53">
        <f t="shared" ref="F17:F20" si="5">1/E17</f>
        <v>2.1734074899968919E-6</v>
      </c>
      <c r="G17" s="54">
        <f t="shared" ref="G17:G20" si="6">F17/$F$21</f>
        <v>0.23472989241154107</v>
      </c>
      <c r="K17" s="46"/>
    </row>
    <row r="18" spans="1:26" ht="14.25" customHeight="1" x14ac:dyDescent="0.3">
      <c r="A18" s="55" t="s">
        <v>125</v>
      </c>
      <c r="B18" s="56">
        <v>25000</v>
      </c>
      <c r="C18" s="57">
        <v>361500</v>
      </c>
      <c r="D18" s="58">
        <v>32107</v>
      </c>
      <c r="E18" s="59">
        <f t="shared" si="4"/>
        <v>418607</v>
      </c>
      <c r="F18" s="60">
        <f t="shared" si="5"/>
        <v>2.3888754846431141E-6</v>
      </c>
      <c r="G18" s="61">
        <f t="shared" si="6"/>
        <v>0.25800062255957723</v>
      </c>
    </row>
    <row r="19" spans="1:26" ht="14.25" customHeight="1" x14ac:dyDescent="0.3">
      <c r="A19" s="55" t="s">
        <v>132</v>
      </c>
      <c r="B19" s="56">
        <v>20000</v>
      </c>
      <c r="C19" s="57">
        <v>340500</v>
      </c>
      <c r="D19" s="58">
        <v>32107</v>
      </c>
      <c r="E19" s="59">
        <f t="shared" si="4"/>
        <v>392607</v>
      </c>
      <c r="F19" s="60">
        <f t="shared" si="5"/>
        <v>2.5470763384249391E-6</v>
      </c>
      <c r="G19" s="61">
        <f t="shared" si="6"/>
        <v>0.2750864518661077</v>
      </c>
    </row>
    <row r="20" spans="1:26" ht="14.25" customHeight="1" x14ac:dyDescent="0.3">
      <c r="A20" s="62" t="s">
        <v>134</v>
      </c>
      <c r="B20" s="63">
        <v>20000</v>
      </c>
      <c r="C20" s="64">
        <v>417000</v>
      </c>
      <c r="D20" s="65">
        <v>28154</v>
      </c>
      <c r="E20" s="66">
        <f t="shared" si="4"/>
        <v>465154</v>
      </c>
      <c r="F20" s="67">
        <f t="shared" si="5"/>
        <v>2.1498256491398548E-6</v>
      </c>
      <c r="G20" s="68">
        <f t="shared" si="6"/>
        <v>0.23218303316277392</v>
      </c>
    </row>
    <row r="21" spans="1:26" ht="14.25" customHeight="1" x14ac:dyDescent="0.3">
      <c r="A21" s="69" t="s">
        <v>67</v>
      </c>
      <c r="B21" s="32"/>
      <c r="C21" s="70"/>
      <c r="D21" s="33"/>
      <c r="E21" s="71"/>
      <c r="F21" s="72">
        <f>SUM(F17:F20)</f>
        <v>9.2591849622048004E-6</v>
      </c>
      <c r="G21" s="73"/>
    </row>
    <row r="22" spans="1:26" ht="14.25" customHeight="1" x14ac:dyDescent="0.25"/>
    <row r="23" spans="1:26" ht="14.25" customHeight="1" x14ac:dyDescent="0.25"/>
    <row r="24" spans="1:26" ht="14.25" customHeight="1" x14ac:dyDescent="0.3">
      <c r="A24" s="74" t="s">
        <v>11</v>
      </c>
      <c r="B24" s="763" t="s">
        <v>142</v>
      </c>
      <c r="C24" s="764"/>
      <c r="D24" s="752"/>
      <c r="E24" s="75" t="s">
        <v>143</v>
      </c>
      <c r="F24" s="76" t="s">
        <v>144</v>
      </c>
    </row>
    <row r="25" spans="1:26" ht="14.25" customHeight="1" x14ac:dyDescent="0.3">
      <c r="A25" s="77"/>
      <c r="B25" s="78" t="s">
        <v>146</v>
      </c>
      <c r="C25" s="79" t="s">
        <v>147</v>
      </c>
      <c r="D25" s="80" t="s">
        <v>149</v>
      </c>
      <c r="E25" s="81"/>
      <c r="F25" s="82"/>
    </row>
    <row r="26" spans="1:26" ht="14.25" customHeight="1" x14ac:dyDescent="0.3">
      <c r="A26" s="47" t="s">
        <v>151</v>
      </c>
      <c r="B26" s="9">
        <v>1</v>
      </c>
      <c r="C26" s="83">
        <v>1</v>
      </c>
      <c r="D26" s="10"/>
      <c r="E26" s="84">
        <f t="shared" ref="E26:E28" si="7">B26+C26+D26</f>
        <v>2</v>
      </c>
      <c r="F26" s="54">
        <f t="shared" ref="F26:F28" si="8">E26/$E$29</f>
        <v>0.5</v>
      </c>
    </row>
    <row r="27" spans="1:26" ht="14.25" customHeight="1" x14ac:dyDescent="0.3">
      <c r="A27" s="55" t="s">
        <v>153</v>
      </c>
      <c r="B27" s="15">
        <v>1</v>
      </c>
      <c r="C27" s="85"/>
      <c r="D27" s="16">
        <v>1</v>
      </c>
      <c r="E27" s="86">
        <f t="shared" si="7"/>
        <v>2</v>
      </c>
      <c r="F27" s="61">
        <f t="shared" si="8"/>
        <v>0.5</v>
      </c>
    </row>
    <row r="28" spans="1:26" ht="14.25" customHeight="1" x14ac:dyDescent="0.3">
      <c r="A28" s="55" t="s">
        <v>155</v>
      </c>
      <c r="B28" s="15"/>
      <c r="C28" s="85">
        <v>0</v>
      </c>
      <c r="D28" s="16">
        <v>0</v>
      </c>
      <c r="E28" s="86">
        <f t="shared" si="7"/>
        <v>0</v>
      </c>
      <c r="F28" s="61">
        <f t="shared" si="8"/>
        <v>0</v>
      </c>
    </row>
    <row r="29" spans="1:26" ht="14.25" customHeight="1" x14ac:dyDescent="0.3">
      <c r="A29" s="87" t="s">
        <v>67</v>
      </c>
      <c r="B29" s="88"/>
      <c r="C29" s="89"/>
      <c r="D29" s="90"/>
      <c r="E29" s="91">
        <f>SUM(E26:E28)</f>
        <v>4</v>
      </c>
      <c r="F29" s="92"/>
    </row>
    <row r="30" spans="1:26" ht="14.25" customHeight="1" x14ac:dyDescent="0.25"/>
    <row r="31" spans="1:26" ht="14.25" customHeight="1" x14ac:dyDescent="0.25"/>
    <row r="32" spans="1:26" ht="14.25" customHeight="1" x14ac:dyDescent="0.3">
      <c r="A32" s="93" t="s">
        <v>158</v>
      </c>
      <c r="B32" s="763" t="s">
        <v>160</v>
      </c>
      <c r="C32" s="764"/>
      <c r="D32" s="764"/>
      <c r="E32" s="764"/>
      <c r="F32" s="764"/>
      <c r="G32" s="764"/>
      <c r="H32" s="764"/>
      <c r="I32" s="752"/>
      <c r="J32" s="763" t="s">
        <v>161</v>
      </c>
      <c r="K32" s="764"/>
      <c r="L32" s="764"/>
      <c r="M32" s="764"/>
      <c r="N32" s="764"/>
      <c r="O32" s="764"/>
      <c r="P32" s="764"/>
      <c r="Q32" s="752"/>
      <c r="R32" s="763" t="s">
        <v>162</v>
      </c>
      <c r="S32" s="764"/>
      <c r="T32" s="764"/>
      <c r="U32" s="764"/>
      <c r="V32" s="764"/>
      <c r="W32" s="764"/>
      <c r="X32" s="764"/>
      <c r="Y32" s="752"/>
      <c r="Z32" s="94"/>
    </row>
    <row r="33" spans="1:26" ht="14.25" customHeight="1" x14ac:dyDescent="0.3">
      <c r="A33" s="95"/>
      <c r="B33" s="769" t="s">
        <v>142</v>
      </c>
      <c r="C33" s="770"/>
      <c r="D33" s="770"/>
      <c r="E33" s="770"/>
      <c r="F33" s="770"/>
      <c r="G33" s="771"/>
      <c r="H33" s="96" t="s">
        <v>164</v>
      </c>
      <c r="I33" s="97" t="s">
        <v>166</v>
      </c>
      <c r="J33" s="769" t="s">
        <v>142</v>
      </c>
      <c r="K33" s="770"/>
      <c r="L33" s="770"/>
      <c r="M33" s="770"/>
      <c r="N33" s="770"/>
      <c r="O33" s="771"/>
      <c r="P33" s="96" t="s">
        <v>164</v>
      </c>
      <c r="Q33" s="97" t="s">
        <v>166</v>
      </c>
      <c r="R33" s="769" t="s">
        <v>142</v>
      </c>
      <c r="S33" s="770"/>
      <c r="T33" s="770"/>
      <c r="U33" s="770"/>
      <c r="V33" s="770"/>
      <c r="W33" s="771"/>
      <c r="X33" s="96" t="s">
        <v>164</v>
      </c>
      <c r="Y33" s="97" t="s">
        <v>166</v>
      </c>
      <c r="Z33" s="98"/>
    </row>
    <row r="34" spans="1:26" ht="14.25" customHeight="1" x14ac:dyDescent="0.3">
      <c r="A34" s="99" t="s">
        <v>94</v>
      </c>
      <c r="B34" s="100" t="s">
        <v>146</v>
      </c>
      <c r="C34" s="101" t="s">
        <v>147</v>
      </c>
      <c r="D34" s="102" t="s">
        <v>168</v>
      </c>
      <c r="E34" s="102" t="s">
        <v>149</v>
      </c>
      <c r="F34" s="102" t="s">
        <v>170</v>
      </c>
      <c r="G34" s="103" t="s">
        <v>171</v>
      </c>
      <c r="H34" s="104"/>
      <c r="I34" s="104"/>
      <c r="J34" s="100" t="s">
        <v>146</v>
      </c>
      <c r="K34" s="101" t="s">
        <v>147</v>
      </c>
      <c r="L34" s="102" t="s">
        <v>168</v>
      </c>
      <c r="M34" s="102" t="s">
        <v>149</v>
      </c>
      <c r="N34" s="102" t="s">
        <v>170</v>
      </c>
      <c r="O34" s="103" t="s">
        <v>171</v>
      </c>
      <c r="P34" s="104"/>
      <c r="Q34" s="104"/>
      <c r="R34" s="100" t="s">
        <v>146</v>
      </c>
      <c r="S34" s="101" t="s">
        <v>147</v>
      </c>
      <c r="T34" s="102" t="s">
        <v>168</v>
      </c>
      <c r="U34" s="102" t="s">
        <v>149</v>
      </c>
      <c r="V34" s="102" t="s">
        <v>170</v>
      </c>
      <c r="W34" s="103" t="s">
        <v>171</v>
      </c>
      <c r="X34" s="104"/>
      <c r="Y34" s="104"/>
      <c r="Z34" s="94"/>
    </row>
    <row r="35" spans="1:26" ht="14.25" customHeight="1" x14ac:dyDescent="0.3">
      <c r="A35" s="105" t="s">
        <v>173</v>
      </c>
      <c r="B35" s="9">
        <v>1</v>
      </c>
      <c r="C35" s="83">
        <v>1</v>
      </c>
      <c r="D35" s="83">
        <v>1</v>
      </c>
      <c r="E35" s="83"/>
      <c r="F35" s="83"/>
      <c r="G35" s="12"/>
      <c r="H35" s="84">
        <f t="shared" ref="H35:H38" si="9">SUM(B35:G35)</f>
        <v>3</v>
      </c>
      <c r="I35" s="84">
        <f t="shared" ref="I35:I38" si="10">H35/$H$39</f>
        <v>0.42857142857142855</v>
      </c>
      <c r="J35" s="9">
        <v>0</v>
      </c>
      <c r="K35" s="83">
        <v>0</v>
      </c>
      <c r="L35" s="83">
        <v>1</v>
      </c>
      <c r="M35" s="83"/>
      <c r="N35" s="83"/>
      <c r="O35" s="12"/>
      <c r="P35" s="84">
        <f t="shared" ref="P35:P38" si="11">SUM(J35:O35)</f>
        <v>1</v>
      </c>
      <c r="Q35" s="84">
        <f t="shared" ref="Q35:Q38" si="12">P35/$P$39</f>
        <v>0.14285714285714285</v>
      </c>
      <c r="R35" s="9">
        <v>0</v>
      </c>
      <c r="S35" s="83">
        <v>0</v>
      </c>
      <c r="T35" s="83">
        <v>1</v>
      </c>
      <c r="U35" s="83"/>
      <c r="V35" s="83"/>
      <c r="W35" s="12"/>
      <c r="X35" s="84">
        <f t="shared" ref="X35:X38" si="13">SUM(R35:W35)</f>
        <v>1</v>
      </c>
      <c r="Y35" s="84">
        <f t="shared" ref="Y35:Y38" si="14">X35/$X$39</f>
        <v>0.125</v>
      </c>
      <c r="Z35" s="94"/>
    </row>
    <row r="36" spans="1:26" ht="14.25" customHeight="1" x14ac:dyDescent="0.3">
      <c r="A36" s="106" t="s">
        <v>178</v>
      </c>
      <c r="B36" s="15">
        <v>0</v>
      </c>
      <c r="C36" s="85"/>
      <c r="D36" s="85"/>
      <c r="E36" s="85">
        <v>0</v>
      </c>
      <c r="F36" s="85">
        <v>0</v>
      </c>
      <c r="G36" s="18"/>
      <c r="H36" s="86">
        <f t="shared" si="9"/>
        <v>0</v>
      </c>
      <c r="I36" s="86">
        <f t="shared" si="10"/>
        <v>0</v>
      </c>
      <c r="J36" s="15">
        <v>1</v>
      </c>
      <c r="K36" s="85"/>
      <c r="L36" s="85"/>
      <c r="M36" s="85">
        <v>0</v>
      </c>
      <c r="N36" s="85">
        <v>1</v>
      </c>
      <c r="O36" s="18"/>
      <c r="P36" s="86">
        <f t="shared" si="11"/>
        <v>2</v>
      </c>
      <c r="Q36" s="86">
        <f t="shared" si="12"/>
        <v>0.2857142857142857</v>
      </c>
      <c r="R36" s="15">
        <v>1</v>
      </c>
      <c r="S36" s="85"/>
      <c r="T36" s="85"/>
      <c r="U36" s="85">
        <v>1</v>
      </c>
      <c r="V36" s="85">
        <v>1</v>
      </c>
      <c r="W36" s="18"/>
      <c r="X36" s="86">
        <f t="shared" si="13"/>
        <v>3</v>
      </c>
      <c r="Y36" s="86">
        <f t="shared" si="14"/>
        <v>0.375</v>
      </c>
      <c r="Z36" s="94"/>
    </row>
    <row r="37" spans="1:26" ht="14.25" customHeight="1" x14ac:dyDescent="0.3">
      <c r="A37" s="106" t="s">
        <v>181</v>
      </c>
      <c r="B37" s="15"/>
      <c r="C37" s="85">
        <v>0</v>
      </c>
      <c r="D37" s="85"/>
      <c r="E37" s="85">
        <v>1</v>
      </c>
      <c r="F37" s="85"/>
      <c r="G37" s="18">
        <v>1</v>
      </c>
      <c r="H37" s="86">
        <f t="shared" si="9"/>
        <v>2</v>
      </c>
      <c r="I37" s="86">
        <f t="shared" si="10"/>
        <v>0.2857142857142857</v>
      </c>
      <c r="J37" s="15"/>
      <c r="K37" s="85">
        <v>1</v>
      </c>
      <c r="L37" s="85"/>
      <c r="M37" s="85">
        <v>1</v>
      </c>
      <c r="N37" s="85"/>
      <c r="O37" s="18">
        <v>1</v>
      </c>
      <c r="P37" s="86">
        <f t="shared" si="11"/>
        <v>3</v>
      </c>
      <c r="Q37" s="86">
        <f t="shared" si="12"/>
        <v>0.42857142857142855</v>
      </c>
      <c r="R37" s="15"/>
      <c r="S37" s="85">
        <v>1</v>
      </c>
      <c r="T37" s="85"/>
      <c r="U37" s="85">
        <v>1</v>
      </c>
      <c r="V37" s="85"/>
      <c r="W37" s="18">
        <v>1</v>
      </c>
      <c r="X37" s="86">
        <f t="shared" si="13"/>
        <v>3</v>
      </c>
      <c r="Y37" s="86">
        <f t="shared" si="14"/>
        <v>0.375</v>
      </c>
      <c r="Z37" s="94"/>
    </row>
    <row r="38" spans="1:26" ht="14.25" customHeight="1" x14ac:dyDescent="0.3">
      <c r="A38" s="107" t="s">
        <v>184</v>
      </c>
      <c r="B38" s="15"/>
      <c r="C38" s="85"/>
      <c r="D38" s="85">
        <v>0</v>
      </c>
      <c r="E38" s="85"/>
      <c r="F38" s="85">
        <v>1</v>
      </c>
      <c r="G38" s="18">
        <v>1</v>
      </c>
      <c r="H38" s="86">
        <f t="shared" si="9"/>
        <v>2</v>
      </c>
      <c r="I38" s="86">
        <f t="shared" si="10"/>
        <v>0.2857142857142857</v>
      </c>
      <c r="J38" s="15"/>
      <c r="K38" s="85"/>
      <c r="L38" s="85">
        <v>1</v>
      </c>
      <c r="M38" s="85"/>
      <c r="N38" s="85">
        <v>0</v>
      </c>
      <c r="O38" s="18">
        <v>0</v>
      </c>
      <c r="P38" s="86">
        <f t="shared" si="11"/>
        <v>1</v>
      </c>
      <c r="Q38" s="86">
        <f t="shared" si="12"/>
        <v>0.14285714285714285</v>
      </c>
      <c r="R38" s="15"/>
      <c r="S38" s="85"/>
      <c r="T38" s="85">
        <v>1</v>
      </c>
      <c r="U38" s="85"/>
      <c r="V38" s="85">
        <v>0</v>
      </c>
      <c r="W38" s="18">
        <v>0</v>
      </c>
      <c r="X38" s="86">
        <f t="shared" si="13"/>
        <v>1</v>
      </c>
      <c r="Y38" s="86">
        <f t="shared" si="14"/>
        <v>0.125</v>
      </c>
      <c r="Z38" s="94"/>
    </row>
    <row r="39" spans="1:26" ht="14.25" customHeight="1" x14ac:dyDescent="0.3">
      <c r="A39" s="108" t="s">
        <v>67</v>
      </c>
      <c r="B39" s="88"/>
      <c r="C39" s="89"/>
      <c r="D39" s="89"/>
      <c r="E39" s="89"/>
      <c r="F39" s="89"/>
      <c r="G39" s="109"/>
      <c r="H39" s="91">
        <f>SUM(H35:H38)</f>
        <v>7</v>
      </c>
      <c r="I39" s="91"/>
      <c r="J39" s="88"/>
      <c r="K39" s="89"/>
      <c r="L39" s="89"/>
      <c r="M39" s="89"/>
      <c r="N39" s="89"/>
      <c r="O39" s="109"/>
      <c r="P39" s="91">
        <f>SUM(P35:P38)</f>
        <v>7</v>
      </c>
      <c r="Q39" s="91"/>
      <c r="R39" s="88"/>
      <c r="S39" s="89"/>
      <c r="T39" s="89"/>
      <c r="U39" s="89"/>
      <c r="V39" s="89"/>
      <c r="W39" s="109"/>
      <c r="X39" s="91">
        <f>SUM(X35:X38)</f>
        <v>8</v>
      </c>
      <c r="Y39" s="91"/>
      <c r="Z39" s="94"/>
    </row>
    <row r="40" spans="1:26" ht="14.25" customHeight="1" x14ac:dyDescent="0.25"/>
    <row r="41" spans="1:26" ht="14.25" customHeight="1" x14ac:dyDescent="0.25"/>
    <row r="42" spans="1:26" ht="14.25" customHeight="1" x14ac:dyDescent="0.3">
      <c r="D42" s="110" t="s">
        <v>193</v>
      </c>
      <c r="E42" s="111">
        <f t="shared" ref="E42:E45" si="15">G17</f>
        <v>0.23472989241154107</v>
      </c>
      <c r="G42" s="110" t="s">
        <v>198</v>
      </c>
      <c r="H42" s="111">
        <f t="shared" ref="H42:H45" si="16">I35*$F$26+Q35*$F$27+Y35*$F$28</f>
        <v>0.2857142857142857</v>
      </c>
    </row>
    <row r="43" spans="1:26" ht="14.25" customHeight="1" x14ac:dyDescent="0.3">
      <c r="D43" s="112" t="s">
        <v>202</v>
      </c>
      <c r="E43" s="113">
        <f t="shared" si="15"/>
        <v>0.25800062255957723</v>
      </c>
      <c r="G43" s="112" t="s">
        <v>206</v>
      </c>
      <c r="H43" s="113">
        <f t="shared" si="16"/>
        <v>0.14285714285714285</v>
      </c>
    </row>
    <row r="44" spans="1:26" ht="14.25" customHeight="1" x14ac:dyDescent="0.3">
      <c r="D44" s="112" t="s">
        <v>208</v>
      </c>
      <c r="E44" s="113">
        <f t="shared" si="15"/>
        <v>0.2750864518661077</v>
      </c>
      <c r="G44" s="112" t="s">
        <v>210</v>
      </c>
      <c r="H44" s="113">
        <f t="shared" si="16"/>
        <v>0.3571428571428571</v>
      </c>
    </row>
    <row r="45" spans="1:26" ht="14.25" customHeight="1" x14ac:dyDescent="0.3">
      <c r="D45" s="78" t="s">
        <v>211</v>
      </c>
      <c r="E45" s="115">
        <f t="shared" si="15"/>
        <v>0.23218303316277392</v>
      </c>
      <c r="G45" s="78" t="s">
        <v>217</v>
      </c>
      <c r="H45" s="115">
        <f t="shared" si="16"/>
        <v>0.21428571428571427</v>
      </c>
    </row>
    <row r="46" spans="1:26" ht="14.25" customHeight="1" x14ac:dyDescent="0.25"/>
    <row r="47" spans="1:26" ht="14.25" customHeight="1" x14ac:dyDescent="0.3">
      <c r="A47" s="116" t="s">
        <v>220</v>
      </c>
      <c r="B47" s="111">
        <f t="shared" ref="B47:B50" si="17">$E$47*E42+$E$48*H42</f>
        <v>0.25257443006750169</v>
      </c>
      <c r="D47" s="110" t="s">
        <v>221</v>
      </c>
      <c r="E47" s="111">
        <v>0.65</v>
      </c>
    </row>
    <row r="48" spans="1:26" ht="14.25" customHeight="1" x14ac:dyDescent="0.3">
      <c r="A48" s="15" t="s">
        <v>222</v>
      </c>
      <c r="B48" s="118">
        <f t="shared" si="17"/>
        <v>0.2177004046637252</v>
      </c>
      <c r="D48" s="78" t="s">
        <v>223</v>
      </c>
      <c r="E48" s="115">
        <v>0.35</v>
      </c>
    </row>
    <row r="49" spans="1:12" ht="14.25" customHeight="1" x14ac:dyDescent="0.3">
      <c r="A49" s="119" t="s">
        <v>224</v>
      </c>
      <c r="B49" s="37">
        <f t="shared" si="17"/>
        <v>0.30380619371297002</v>
      </c>
    </row>
    <row r="50" spans="1:12" ht="14.25" customHeight="1" x14ac:dyDescent="0.3">
      <c r="A50" s="88" t="s">
        <v>226</v>
      </c>
      <c r="B50" s="120">
        <f t="shared" si="17"/>
        <v>0.22591897155580304</v>
      </c>
    </row>
    <row r="51" spans="1:12" ht="14.25" customHeight="1" x14ac:dyDescent="0.25"/>
    <row r="52" spans="1:12" ht="14.25" customHeight="1" x14ac:dyDescent="0.25"/>
    <row r="53" spans="1:12" ht="14.25" customHeight="1" x14ac:dyDescent="0.25"/>
    <row r="54" spans="1:12" ht="14.25" customHeight="1" x14ac:dyDescent="0.25">
      <c r="A54" s="755" t="s">
        <v>227</v>
      </c>
      <c r="B54" s="756"/>
      <c r="C54" s="756"/>
      <c r="D54" s="756"/>
      <c r="E54" s="756"/>
      <c r="F54" s="756"/>
      <c r="G54" s="756"/>
      <c r="H54" s="756"/>
      <c r="I54" s="756"/>
      <c r="J54" s="756"/>
      <c r="K54" s="756"/>
      <c r="L54" s="757"/>
    </row>
    <row r="55" spans="1:12" ht="14.25" customHeight="1" x14ac:dyDescent="0.25">
      <c r="A55" s="758"/>
      <c r="B55" s="759"/>
      <c r="C55" s="759"/>
      <c r="D55" s="759"/>
      <c r="E55" s="759"/>
      <c r="F55" s="759"/>
      <c r="G55" s="759"/>
      <c r="H55" s="759"/>
      <c r="I55" s="759"/>
      <c r="J55" s="759"/>
      <c r="K55" s="759"/>
      <c r="L55" s="760"/>
    </row>
    <row r="56" spans="1:12" ht="14.25" customHeight="1" x14ac:dyDescent="0.3">
      <c r="A56" s="765" t="s">
        <v>11</v>
      </c>
      <c r="B56" s="767" t="s">
        <v>17</v>
      </c>
      <c r="C56" s="751" t="s">
        <v>228</v>
      </c>
      <c r="D56" s="752"/>
      <c r="E56" s="753" t="s">
        <v>229</v>
      </c>
      <c r="F56" s="754"/>
      <c r="G56" s="751" t="s">
        <v>230</v>
      </c>
      <c r="H56" s="752"/>
      <c r="I56" s="753" t="s">
        <v>231</v>
      </c>
      <c r="J56" s="752"/>
      <c r="K56" s="753" t="s">
        <v>232</v>
      </c>
      <c r="L56" s="752"/>
    </row>
    <row r="57" spans="1:12" ht="14.25" customHeight="1" x14ac:dyDescent="0.3">
      <c r="A57" s="766"/>
      <c r="B57" s="768"/>
      <c r="C57" s="88" t="s">
        <v>31</v>
      </c>
      <c r="D57" s="90" t="s">
        <v>32</v>
      </c>
      <c r="E57" s="121" t="s">
        <v>31</v>
      </c>
      <c r="F57" s="109" t="s">
        <v>32</v>
      </c>
      <c r="G57" s="88" t="s">
        <v>31</v>
      </c>
      <c r="H57" s="90" t="s">
        <v>32</v>
      </c>
      <c r="I57" s="121" t="s">
        <v>31</v>
      </c>
      <c r="J57" s="90" t="s">
        <v>32</v>
      </c>
      <c r="K57" s="121" t="s">
        <v>31</v>
      </c>
      <c r="L57" s="90" t="s">
        <v>32</v>
      </c>
    </row>
    <row r="58" spans="1:12" ht="14.25" customHeight="1" x14ac:dyDescent="0.3">
      <c r="A58" s="7" t="s">
        <v>234</v>
      </c>
      <c r="B58" s="8">
        <v>25</v>
      </c>
      <c r="C58" s="9">
        <v>5</v>
      </c>
      <c r="D58" s="10">
        <f t="shared" ref="D58:D63" si="18">B58*C58</f>
        <v>125</v>
      </c>
      <c r="E58" s="11">
        <v>5</v>
      </c>
      <c r="F58" s="12">
        <f t="shared" ref="F58:F63" si="19">B58*E58</f>
        <v>125</v>
      </c>
      <c r="G58" s="9">
        <v>4</v>
      </c>
      <c r="H58" s="10">
        <f t="shared" ref="H58:H63" si="20">B58*G58</f>
        <v>100</v>
      </c>
      <c r="I58" s="11">
        <v>2</v>
      </c>
      <c r="J58" s="10">
        <f t="shared" ref="J58:J63" si="21">B58*I58</f>
        <v>50</v>
      </c>
      <c r="K58" s="11">
        <v>1</v>
      </c>
      <c r="L58" s="10">
        <f t="shared" ref="L58:L63" si="22">B58*K58</f>
        <v>25</v>
      </c>
    </row>
    <row r="59" spans="1:12" ht="14.25" customHeight="1" x14ac:dyDescent="0.3">
      <c r="A59" s="13" t="s">
        <v>235</v>
      </c>
      <c r="B59" s="14">
        <v>15</v>
      </c>
      <c r="C59" s="15">
        <v>2</v>
      </c>
      <c r="D59" s="16">
        <f t="shared" si="18"/>
        <v>30</v>
      </c>
      <c r="E59" s="17">
        <v>1</v>
      </c>
      <c r="F59" s="18">
        <f t="shared" si="19"/>
        <v>15</v>
      </c>
      <c r="G59" s="15">
        <v>5</v>
      </c>
      <c r="H59" s="16">
        <f t="shared" si="20"/>
        <v>75</v>
      </c>
      <c r="I59" s="17">
        <v>4</v>
      </c>
      <c r="J59" s="16">
        <f t="shared" si="21"/>
        <v>60</v>
      </c>
      <c r="K59" s="17">
        <v>3</v>
      </c>
      <c r="L59" s="16">
        <f t="shared" si="22"/>
        <v>45</v>
      </c>
    </row>
    <row r="60" spans="1:12" ht="14.25" customHeight="1" x14ac:dyDescent="0.3">
      <c r="A60" s="13" t="s">
        <v>237</v>
      </c>
      <c r="B60" s="14">
        <v>8</v>
      </c>
      <c r="C60" s="15">
        <v>3</v>
      </c>
      <c r="D60" s="16">
        <f t="shared" si="18"/>
        <v>24</v>
      </c>
      <c r="E60" s="17">
        <v>5</v>
      </c>
      <c r="F60" s="18">
        <f t="shared" si="19"/>
        <v>40</v>
      </c>
      <c r="G60" s="15">
        <v>1</v>
      </c>
      <c r="H60" s="16">
        <f t="shared" si="20"/>
        <v>8</v>
      </c>
      <c r="I60" s="17">
        <v>3</v>
      </c>
      <c r="J60" s="16">
        <f t="shared" si="21"/>
        <v>24</v>
      </c>
      <c r="K60" s="17">
        <v>4</v>
      </c>
      <c r="L60" s="16">
        <f t="shared" si="22"/>
        <v>32</v>
      </c>
    </row>
    <row r="61" spans="1:12" ht="14.25" customHeight="1" x14ac:dyDescent="0.3">
      <c r="A61" s="13" t="s">
        <v>238</v>
      </c>
      <c r="B61" s="14">
        <v>12</v>
      </c>
      <c r="C61" s="15">
        <v>3</v>
      </c>
      <c r="D61" s="16">
        <f t="shared" si="18"/>
        <v>36</v>
      </c>
      <c r="E61" s="17">
        <v>3</v>
      </c>
      <c r="F61" s="18">
        <f t="shared" si="19"/>
        <v>36</v>
      </c>
      <c r="G61" s="15">
        <v>4</v>
      </c>
      <c r="H61" s="16">
        <f t="shared" si="20"/>
        <v>48</v>
      </c>
      <c r="I61" s="17">
        <v>1</v>
      </c>
      <c r="J61" s="16">
        <f t="shared" si="21"/>
        <v>12</v>
      </c>
      <c r="K61" s="17">
        <v>5</v>
      </c>
      <c r="L61" s="16">
        <f t="shared" si="22"/>
        <v>60</v>
      </c>
    </row>
    <row r="62" spans="1:12" ht="14.25" customHeight="1" x14ac:dyDescent="0.3">
      <c r="A62" s="13" t="s">
        <v>240</v>
      </c>
      <c r="B62" s="14">
        <v>20</v>
      </c>
      <c r="C62" s="15">
        <v>3</v>
      </c>
      <c r="D62" s="16">
        <f t="shared" si="18"/>
        <v>60</v>
      </c>
      <c r="E62" s="17">
        <v>5</v>
      </c>
      <c r="F62" s="18">
        <f t="shared" si="19"/>
        <v>100</v>
      </c>
      <c r="G62" s="15">
        <v>1</v>
      </c>
      <c r="H62" s="26">
        <f t="shared" si="20"/>
        <v>20</v>
      </c>
      <c r="I62" s="17">
        <v>4</v>
      </c>
      <c r="J62" s="26">
        <f t="shared" si="21"/>
        <v>80</v>
      </c>
      <c r="K62" s="17">
        <v>4</v>
      </c>
      <c r="L62" s="26">
        <f t="shared" si="22"/>
        <v>80</v>
      </c>
    </row>
    <row r="63" spans="1:12" ht="14.25" customHeight="1" x14ac:dyDescent="0.3">
      <c r="A63" s="13" t="s">
        <v>241</v>
      </c>
      <c r="B63" s="14">
        <v>20</v>
      </c>
      <c r="C63" s="15">
        <v>3</v>
      </c>
      <c r="D63" s="16">
        <f t="shared" si="18"/>
        <v>60</v>
      </c>
      <c r="E63" s="17">
        <v>3</v>
      </c>
      <c r="F63" s="29">
        <f t="shared" si="19"/>
        <v>60</v>
      </c>
      <c r="G63" s="15">
        <v>3</v>
      </c>
      <c r="H63" s="26">
        <f t="shared" si="20"/>
        <v>60</v>
      </c>
      <c r="I63" s="17">
        <v>3</v>
      </c>
      <c r="J63" s="26">
        <f t="shared" si="21"/>
        <v>60</v>
      </c>
      <c r="K63" s="17">
        <v>5</v>
      </c>
      <c r="L63" s="26">
        <f t="shared" si="22"/>
        <v>100</v>
      </c>
    </row>
    <row r="64" spans="1:12" ht="14.25" customHeight="1" x14ac:dyDescent="0.3">
      <c r="A64" s="122" t="s">
        <v>67</v>
      </c>
      <c r="B64" s="123">
        <f>SUM(B58:B63)</f>
        <v>100</v>
      </c>
      <c r="C64" s="88"/>
      <c r="D64" s="90">
        <f>SUM(D58:D63)</f>
        <v>335</v>
      </c>
      <c r="E64" s="124"/>
      <c r="F64" s="37">
        <f>SUM(F58:F63)</f>
        <v>376</v>
      </c>
      <c r="G64" s="88"/>
      <c r="H64" s="90">
        <f>SUM(H58:H63)</f>
        <v>311</v>
      </c>
      <c r="I64" s="88"/>
      <c r="J64" s="90">
        <f>SUM(J58:J63)</f>
        <v>286</v>
      </c>
      <c r="K64" s="121"/>
      <c r="L64" s="90">
        <f>SUM(L58:L63)</f>
        <v>342</v>
      </c>
    </row>
    <row r="65" spans="1:13" ht="14.25" customHeight="1" x14ac:dyDescent="0.25"/>
    <row r="66" spans="1:13" ht="14.25" customHeight="1" x14ac:dyDescent="0.3">
      <c r="A66" s="125"/>
      <c r="B66" s="125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</row>
    <row r="67" spans="1:13" ht="14.25" customHeight="1" x14ac:dyDescent="0.3">
      <c r="A67" s="125"/>
      <c r="B67" s="125"/>
      <c r="C67" s="125" t="s">
        <v>242</v>
      </c>
      <c r="D67" s="125"/>
      <c r="E67" s="125">
        <v>7.8</v>
      </c>
      <c r="F67" s="125"/>
      <c r="G67" s="125">
        <v>25.2</v>
      </c>
      <c r="H67" s="125"/>
      <c r="I67" s="125">
        <v>156</v>
      </c>
      <c r="J67" s="125"/>
      <c r="K67" s="125">
        <v>210</v>
      </c>
      <c r="L67" s="125"/>
      <c r="M67" s="125"/>
    </row>
    <row r="68" spans="1:13" ht="14.25" customHeight="1" x14ac:dyDescent="0.3">
      <c r="A68" s="125"/>
      <c r="B68" s="125" t="s">
        <v>243</v>
      </c>
      <c r="C68" s="126">
        <v>90</v>
      </c>
      <c r="D68" s="125"/>
      <c r="E68" s="126">
        <v>125</v>
      </c>
      <c r="F68" s="125"/>
      <c r="G68" s="126">
        <v>45</v>
      </c>
      <c r="H68" s="125"/>
      <c r="I68" s="126">
        <v>75</v>
      </c>
      <c r="J68" s="125"/>
      <c r="K68" s="126">
        <v>85</v>
      </c>
      <c r="L68" s="125"/>
      <c r="M68" s="125"/>
    </row>
    <row r="69" spans="1:13" ht="14.25" customHeight="1" x14ac:dyDescent="0.3">
      <c r="A69" s="125"/>
      <c r="B69" s="125" t="s">
        <v>244</v>
      </c>
      <c r="C69" s="125" t="s">
        <v>245</v>
      </c>
      <c r="D69" s="125"/>
      <c r="E69" s="125" t="s">
        <v>246</v>
      </c>
      <c r="F69" s="125"/>
      <c r="G69" s="125" t="s">
        <v>247</v>
      </c>
      <c r="H69" s="125"/>
      <c r="I69" s="125" t="s">
        <v>245</v>
      </c>
      <c r="J69" s="125"/>
      <c r="K69" s="125" t="s">
        <v>245</v>
      </c>
      <c r="L69" s="125"/>
      <c r="M69" s="125"/>
    </row>
    <row r="70" spans="1:13" ht="14.25" customHeight="1" x14ac:dyDescent="0.3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</row>
    <row r="71" spans="1:13" ht="14.25" customHeight="1" x14ac:dyDescent="0.3">
      <c r="A71" s="125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</row>
    <row r="72" spans="1:13" ht="14.25" customHeight="1" x14ac:dyDescent="0.25"/>
    <row r="73" spans="1:13" ht="14.25" customHeight="1" x14ac:dyDescent="0.25"/>
    <row r="74" spans="1:13" ht="14.25" customHeight="1" x14ac:dyDescent="0.25"/>
    <row r="75" spans="1:13" ht="14.25" customHeight="1" x14ac:dyDescent="0.25"/>
    <row r="76" spans="1:13" ht="14.25" customHeight="1" x14ac:dyDescent="0.25"/>
    <row r="77" spans="1:13" ht="14.25" customHeight="1" x14ac:dyDescent="0.25"/>
    <row r="78" spans="1:13" ht="14.25" customHeight="1" x14ac:dyDescent="0.25"/>
    <row r="79" spans="1:13" ht="14.25" customHeight="1" x14ac:dyDescent="0.25"/>
    <row r="80" spans="1:13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4">
    <mergeCell ref="R32:Y32"/>
    <mergeCell ref="R33:W33"/>
    <mergeCell ref="A1:J2"/>
    <mergeCell ref="C3:D3"/>
    <mergeCell ref="J33:O33"/>
    <mergeCell ref="E3:F3"/>
    <mergeCell ref="I3:J3"/>
    <mergeCell ref="G3:H3"/>
    <mergeCell ref="B32:I32"/>
    <mergeCell ref="J32:Q32"/>
    <mergeCell ref="A14:G14"/>
    <mergeCell ref="A3:A4"/>
    <mergeCell ref="B3:B4"/>
    <mergeCell ref="G56:H56"/>
    <mergeCell ref="E56:F56"/>
    <mergeCell ref="K56:L56"/>
    <mergeCell ref="A54:L55"/>
    <mergeCell ref="A15:G15"/>
    <mergeCell ref="B24:D24"/>
    <mergeCell ref="C56:D56"/>
    <mergeCell ref="A56:A57"/>
    <mergeCell ref="B56:B57"/>
    <mergeCell ref="B33:G33"/>
    <mergeCell ref="I56:J56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2:O55"/>
  <sheetViews>
    <sheetView showGridLines="0" zoomScaleNormal="100" workbookViewId="0">
      <selection activeCell="P16" sqref="P16"/>
    </sheetView>
  </sheetViews>
  <sheetFormatPr baseColWidth="10" defaultColWidth="12.59765625" defaultRowHeight="15" customHeight="1" x14ac:dyDescent="0.25"/>
  <cols>
    <col min="1" max="2" width="6.69921875" customWidth="1"/>
    <col min="3" max="3" width="6" customWidth="1"/>
    <col min="4" max="4" width="6.69921875" customWidth="1"/>
    <col min="5" max="5" width="8.69921875" customWidth="1"/>
    <col min="6" max="6" width="6.59765625" customWidth="1"/>
    <col min="7" max="7" width="7.19921875" customWidth="1"/>
    <col min="8" max="8" width="7.3984375" customWidth="1"/>
    <col min="9" max="9" width="8.19921875" customWidth="1"/>
    <col min="11" max="11" width="19.69921875" customWidth="1"/>
  </cols>
  <sheetData>
    <row r="2" spans="1:15" ht="15" customHeight="1" x14ac:dyDescent="0.3">
      <c r="A2" s="129">
        <v>2020</v>
      </c>
      <c r="B2" s="127" t="s">
        <v>46</v>
      </c>
      <c r="C2" s="455" t="s">
        <v>49</v>
      </c>
      <c r="D2" s="455" t="s">
        <v>50</v>
      </c>
      <c r="E2" s="455" t="s">
        <v>51</v>
      </c>
      <c r="F2" s="455" t="s">
        <v>52</v>
      </c>
      <c r="G2" s="455" t="s">
        <v>53</v>
      </c>
      <c r="H2" s="456" t="s">
        <v>54</v>
      </c>
      <c r="I2" s="456" t="s">
        <v>56</v>
      </c>
      <c r="K2" s="163" t="s">
        <v>58</v>
      </c>
      <c r="L2" s="19">
        <f>SUM(N3*O3,N4*O4)</f>
        <v>52</v>
      </c>
      <c r="N2" s="163" t="s">
        <v>60</v>
      </c>
      <c r="O2" s="163" t="s">
        <v>20</v>
      </c>
    </row>
    <row r="3" spans="1:15" ht="15" customHeight="1" x14ac:dyDescent="0.3">
      <c r="A3" s="776" t="s">
        <v>61</v>
      </c>
      <c r="B3" s="128">
        <v>1</v>
      </c>
      <c r="C3" s="25"/>
      <c r="D3" s="25"/>
      <c r="E3" s="27">
        <v>1</v>
      </c>
      <c r="F3" s="19">
        <v>2</v>
      </c>
      <c r="G3" s="19">
        <v>3</v>
      </c>
      <c r="H3" s="20">
        <v>4</v>
      </c>
      <c r="I3" s="20">
        <v>5</v>
      </c>
      <c r="K3" s="163" t="s">
        <v>64</v>
      </c>
      <c r="L3" s="19">
        <f>L2*5-L4</f>
        <v>242</v>
      </c>
      <c r="N3" s="19">
        <v>4</v>
      </c>
      <c r="O3" s="19">
        <v>8</v>
      </c>
    </row>
    <row r="4" spans="1:15" ht="15" customHeight="1" x14ac:dyDescent="0.3">
      <c r="A4" s="777"/>
      <c r="B4" s="128">
        <v>2</v>
      </c>
      <c r="C4" s="19">
        <v>6</v>
      </c>
      <c r="D4" s="19">
        <v>7</v>
      </c>
      <c r="E4" s="19">
        <v>8</v>
      </c>
      <c r="F4" s="19">
        <v>9</v>
      </c>
      <c r="G4" s="19">
        <v>10</v>
      </c>
      <c r="H4" s="20">
        <v>11</v>
      </c>
      <c r="I4" s="20">
        <v>12</v>
      </c>
      <c r="K4" s="163" t="s">
        <v>68</v>
      </c>
      <c r="L4" s="19">
        <v>18</v>
      </c>
      <c r="N4" s="19">
        <v>5</v>
      </c>
      <c r="O4" s="19">
        <v>4</v>
      </c>
    </row>
    <row r="5" spans="1:15" ht="15" customHeight="1" x14ac:dyDescent="0.3">
      <c r="A5" s="777"/>
      <c r="B5" s="128">
        <v>3</v>
      </c>
      <c r="C5" s="19">
        <v>13</v>
      </c>
      <c r="D5" s="19">
        <v>14</v>
      </c>
      <c r="E5" s="19">
        <v>15</v>
      </c>
      <c r="F5" s="19">
        <v>16</v>
      </c>
      <c r="G5" s="19">
        <v>17</v>
      </c>
      <c r="H5" s="20">
        <v>18</v>
      </c>
      <c r="I5" s="20">
        <v>19</v>
      </c>
      <c r="K5" s="163" t="s">
        <v>70</v>
      </c>
      <c r="L5" s="457" t="s">
        <v>71</v>
      </c>
    </row>
    <row r="6" spans="1:15" ht="15" customHeight="1" x14ac:dyDescent="0.3">
      <c r="A6" s="777"/>
      <c r="B6" s="128">
        <v>4</v>
      </c>
      <c r="C6" s="19">
        <v>20</v>
      </c>
      <c r="D6" s="19">
        <v>21</v>
      </c>
      <c r="E6" s="19">
        <v>22</v>
      </c>
      <c r="F6" s="19">
        <v>23</v>
      </c>
      <c r="G6" s="19">
        <v>24</v>
      </c>
      <c r="H6" s="20">
        <v>25</v>
      </c>
      <c r="I6" s="20">
        <v>26</v>
      </c>
      <c r="K6" s="163" t="s">
        <v>72</v>
      </c>
      <c r="L6" s="457" t="s">
        <v>73</v>
      </c>
    </row>
    <row r="7" spans="1:15" ht="15" customHeight="1" x14ac:dyDescent="0.3">
      <c r="A7" s="778"/>
      <c r="B7" s="128">
        <v>5</v>
      </c>
      <c r="C7" s="19">
        <v>27</v>
      </c>
      <c r="D7" s="19">
        <v>28</v>
      </c>
      <c r="E7" s="19">
        <v>29</v>
      </c>
      <c r="F7" s="19">
        <v>30</v>
      </c>
      <c r="G7" s="19">
        <v>31</v>
      </c>
      <c r="H7" s="20">
        <v>1</v>
      </c>
      <c r="I7" s="20">
        <v>2</v>
      </c>
      <c r="K7" s="163" t="s">
        <v>76</v>
      </c>
      <c r="L7" s="19">
        <v>1</v>
      </c>
    </row>
    <row r="8" spans="1:15" ht="15" customHeight="1" x14ac:dyDescent="0.3">
      <c r="A8" s="773" t="s">
        <v>78</v>
      </c>
      <c r="B8" s="128">
        <v>6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20">
        <v>8</v>
      </c>
      <c r="I8" s="20">
        <v>9</v>
      </c>
      <c r="K8" s="163" t="s">
        <v>79</v>
      </c>
      <c r="L8" s="19">
        <v>9</v>
      </c>
    </row>
    <row r="9" spans="1:15" ht="15" customHeight="1" x14ac:dyDescent="0.3">
      <c r="A9" s="774"/>
      <c r="B9" s="128">
        <v>7</v>
      </c>
      <c r="C9" s="19">
        <v>10</v>
      </c>
      <c r="D9" s="19">
        <v>11</v>
      </c>
      <c r="E9" s="19">
        <v>12</v>
      </c>
      <c r="F9" s="19">
        <v>13</v>
      </c>
      <c r="G9" s="19">
        <v>14</v>
      </c>
      <c r="H9" s="20">
        <v>15</v>
      </c>
      <c r="I9" s="20">
        <v>16</v>
      </c>
      <c r="K9" s="163" t="s">
        <v>81</v>
      </c>
      <c r="L9" s="19">
        <v>5</v>
      </c>
    </row>
    <row r="10" spans="1:15" ht="15" customHeight="1" x14ac:dyDescent="0.3">
      <c r="A10" s="774"/>
      <c r="B10" s="128">
        <v>8</v>
      </c>
      <c r="C10" s="19">
        <v>17</v>
      </c>
      <c r="D10" s="19">
        <v>18</v>
      </c>
      <c r="E10" s="19">
        <v>19</v>
      </c>
      <c r="F10" s="19">
        <v>20</v>
      </c>
      <c r="G10" s="19">
        <v>21</v>
      </c>
      <c r="H10" s="20">
        <v>22</v>
      </c>
      <c r="I10" s="20">
        <v>23</v>
      </c>
      <c r="K10" s="163" t="s">
        <v>83</v>
      </c>
      <c r="L10" s="19">
        <f>L8*L9</f>
        <v>45</v>
      </c>
    </row>
    <row r="11" spans="1:15" ht="15" customHeight="1" x14ac:dyDescent="0.3">
      <c r="A11" s="775"/>
      <c r="B11" s="128">
        <v>9</v>
      </c>
      <c r="C11" s="27">
        <v>24</v>
      </c>
      <c r="D11" s="27">
        <v>25</v>
      </c>
      <c r="E11" s="19">
        <v>26</v>
      </c>
      <c r="F11" s="19">
        <v>27</v>
      </c>
      <c r="G11" s="19">
        <v>28</v>
      </c>
      <c r="H11" s="20">
        <v>29</v>
      </c>
      <c r="I11" s="20">
        <v>1</v>
      </c>
      <c r="K11" s="163" t="s">
        <v>85</v>
      </c>
      <c r="L11" s="19">
        <v>184</v>
      </c>
    </row>
    <row r="12" spans="1:15" ht="15" customHeight="1" x14ac:dyDescent="0.3">
      <c r="A12" s="776" t="s">
        <v>87</v>
      </c>
      <c r="B12" s="128">
        <v>10</v>
      </c>
      <c r="C12" s="19">
        <v>2</v>
      </c>
      <c r="D12" s="19">
        <v>3</v>
      </c>
      <c r="E12" s="19">
        <v>4</v>
      </c>
      <c r="F12" s="19">
        <v>5</v>
      </c>
      <c r="G12" s="19">
        <v>6</v>
      </c>
      <c r="H12" s="20">
        <v>7</v>
      </c>
      <c r="I12" s="20">
        <v>8</v>
      </c>
      <c r="K12" s="163" t="s">
        <v>89</v>
      </c>
      <c r="L12" s="19">
        <f>L3*L8</f>
        <v>2178</v>
      </c>
    </row>
    <row r="13" spans="1:15" ht="15" customHeight="1" x14ac:dyDescent="0.3">
      <c r="A13" s="777"/>
      <c r="B13" s="128">
        <v>11</v>
      </c>
      <c r="C13" s="19">
        <v>9</v>
      </c>
      <c r="D13" s="19">
        <v>10</v>
      </c>
      <c r="E13" s="19">
        <v>11</v>
      </c>
      <c r="F13" s="19">
        <v>12</v>
      </c>
      <c r="G13" s="19">
        <v>13</v>
      </c>
      <c r="H13" s="20">
        <v>14</v>
      </c>
      <c r="I13" s="20">
        <v>15</v>
      </c>
    </row>
    <row r="14" spans="1:15" ht="15" customHeight="1" x14ac:dyDescent="0.3">
      <c r="A14" s="777"/>
      <c r="B14" s="128">
        <v>12</v>
      </c>
      <c r="C14" s="19">
        <v>16</v>
      </c>
      <c r="D14" s="19">
        <v>17</v>
      </c>
      <c r="E14" s="19">
        <v>18</v>
      </c>
      <c r="F14" s="19">
        <v>19</v>
      </c>
      <c r="G14" s="19">
        <v>20</v>
      </c>
      <c r="H14" s="20">
        <v>21</v>
      </c>
      <c r="I14" s="20">
        <v>22</v>
      </c>
    </row>
    <row r="15" spans="1:15" ht="15" customHeight="1" x14ac:dyDescent="0.3">
      <c r="A15" s="778"/>
      <c r="B15" s="128">
        <v>13</v>
      </c>
      <c r="C15" s="27">
        <v>23</v>
      </c>
      <c r="D15" s="27">
        <v>24</v>
      </c>
      <c r="E15" s="19">
        <v>25</v>
      </c>
      <c r="F15" s="19">
        <v>26</v>
      </c>
      <c r="G15" s="19">
        <v>27</v>
      </c>
      <c r="H15" s="20">
        <v>28</v>
      </c>
      <c r="I15" s="20">
        <v>29</v>
      </c>
    </row>
    <row r="16" spans="1:15" ht="15" customHeight="1" x14ac:dyDescent="0.3">
      <c r="A16" s="773" t="s">
        <v>93</v>
      </c>
      <c r="B16" s="128">
        <v>14</v>
      </c>
      <c r="C16" s="19">
        <v>30</v>
      </c>
      <c r="D16" s="19">
        <v>31</v>
      </c>
      <c r="E16" s="19">
        <v>1</v>
      </c>
      <c r="F16" s="27">
        <v>2</v>
      </c>
      <c r="G16" s="19">
        <v>3</v>
      </c>
      <c r="H16" s="20">
        <v>4</v>
      </c>
      <c r="I16" s="20">
        <v>5</v>
      </c>
      <c r="K16" s="163" t="s">
        <v>95</v>
      </c>
      <c r="L16" s="19">
        <v>540</v>
      </c>
      <c r="M16" s="19" t="s">
        <v>97</v>
      </c>
    </row>
    <row r="17" spans="1:13" ht="15" customHeight="1" x14ac:dyDescent="0.3">
      <c r="A17" s="774"/>
      <c r="B17" s="128">
        <v>15</v>
      </c>
      <c r="C17" s="19">
        <v>6</v>
      </c>
      <c r="D17" s="19">
        <v>7</v>
      </c>
      <c r="E17" s="19">
        <v>8</v>
      </c>
      <c r="F17" s="19">
        <v>9</v>
      </c>
      <c r="G17" s="27">
        <v>10</v>
      </c>
      <c r="H17" s="20">
        <v>11</v>
      </c>
      <c r="I17" s="20">
        <v>12</v>
      </c>
      <c r="K17" s="163" t="s">
        <v>99</v>
      </c>
      <c r="L17" s="19">
        <v>27</v>
      </c>
      <c r="M17" s="19" t="s">
        <v>97</v>
      </c>
    </row>
    <row r="18" spans="1:13" ht="15" customHeight="1" x14ac:dyDescent="0.3">
      <c r="A18" s="774"/>
      <c r="B18" s="128">
        <v>16</v>
      </c>
      <c r="C18" s="19">
        <v>13</v>
      </c>
      <c r="D18" s="19">
        <v>14</v>
      </c>
      <c r="E18" s="19">
        <v>15</v>
      </c>
      <c r="F18" s="19">
        <v>16</v>
      </c>
      <c r="G18" s="19">
        <v>17</v>
      </c>
      <c r="H18" s="20">
        <v>18</v>
      </c>
      <c r="I18" s="20">
        <v>19</v>
      </c>
      <c r="K18" s="163" t="s">
        <v>102</v>
      </c>
      <c r="L18" s="25">
        <f>L16-L17</f>
        <v>513</v>
      </c>
      <c r="M18" s="19" t="s">
        <v>97</v>
      </c>
    </row>
    <row r="19" spans="1:13" ht="15" customHeight="1" x14ac:dyDescent="0.3">
      <c r="A19" s="774"/>
      <c r="B19" s="128">
        <v>17</v>
      </c>
      <c r="C19" s="19">
        <v>20</v>
      </c>
      <c r="D19" s="19">
        <v>21</v>
      </c>
      <c r="E19" s="19">
        <v>22</v>
      </c>
      <c r="F19" s="19">
        <v>23</v>
      </c>
      <c r="G19" s="19">
        <v>24</v>
      </c>
      <c r="H19" s="20">
        <v>25</v>
      </c>
      <c r="I19" s="20">
        <v>26</v>
      </c>
      <c r="K19" s="163" t="s">
        <v>108</v>
      </c>
      <c r="L19" s="45">
        <f>L18/1440</f>
        <v>0.35625000000000001</v>
      </c>
    </row>
    <row r="20" spans="1:13" ht="15" customHeight="1" x14ac:dyDescent="0.3">
      <c r="A20" s="775"/>
      <c r="B20" s="128">
        <v>18</v>
      </c>
      <c r="C20" s="19">
        <v>27</v>
      </c>
      <c r="D20" s="19">
        <v>28</v>
      </c>
      <c r="E20" s="19">
        <v>29</v>
      </c>
      <c r="F20" s="19">
        <v>30</v>
      </c>
      <c r="G20" s="27">
        <v>1</v>
      </c>
      <c r="H20" s="20">
        <v>2</v>
      </c>
      <c r="I20" s="20">
        <v>3</v>
      </c>
      <c r="K20" s="163" t="s">
        <v>113</v>
      </c>
      <c r="L20" s="45">
        <f>L18/L16</f>
        <v>0.95</v>
      </c>
    </row>
    <row r="21" spans="1:13" ht="15" customHeight="1" x14ac:dyDescent="0.3">
      <c r="A21" s="776" t="s">
        <v>115</v>
      </c>
      <c r="B21" s="128">
        <v>19</v>
      </c>
      <c r="C21" s="19">
        <v>4</v>
      </c>
      <c r="D21" s="19">
        <v>5</v>
      </c>
      <c r="E21" s="19">
        <v>6</v>
      </c>
      <c r="F21" s="19">
        <v>7</v>
      </c>
      <c r="G21" s="19">
        <v>8</v>
      </c>
      <c r="H21" s="20">
        <v>9</v>
      </c>
      <c r="I21" s="20">
        <v>10</v>
      </c>
      <c r="K21" s="163" t="s">
        <v>116</v>
      </c>
      <c r="L21" s="45">
        <v>0.98</v>
      </c>
    </row>
    <row r="22" spans="1:13" ht="15" customHeight="1" x14ac:dyDescent="0.3">
      <c r="A22" s="777"/>
      <c r="B22" s="128">
        <v>20</v>
      </c>
      <c r="C22" s="19">
        <v>11</v>
      </c>
      <c r="D22" s="19">
        <v>12</v>
      </c>
      <c r="E22" s="19">
        <v>13</v>
      </c>
      <c r="F22" s="19">
        <v>14</v>
      </c>
      <c r="G22" s="19">
        <v>15</v>
      </c>
      <c r="H22" s="20">
        <v>16</v>
      </c>
      <c r="I22" s="20">
        <v>17</v>
      </c>
      <c r="K22" s="163" t="s">
        <v>118</v>
      </c>
      <c r="L22" s="51">
        <f>L19*L20*L21</f>
        <v>0.33166875000000001</v>
      </c>
    </row>
    <row r="23" spans="1:13" ht="15" customHeight="1" x14ac:dyDescent="0.3">
      <c r="A23" s="777"/>
      <c r="B23" s="128">
        <v>21</v>
      </c>
      <c r="C23" s="19">
        <v>18</v>
      </c>
      <c r="D23" s="19">
        <v>19</v>
      </c>
      <c r="E23" s="19">
        <v>20</v>
      </c>
      <c r="F23" s="19">
        <v>21</v>
      </c>
      <c r="G23" s="19">
        <v>22</v>
      </c>
      <c r="H23" s="20">
        <v>23</v>
      </c>
      <c r="I23" s="20">
        <v>24</v>
      </c>
    </row>
    <row r="24" spans="1:13" ht="15" customHeight="1" x14ac:dyDescent="0.3">
      <c r="A24" s="778"/>
      <c r="B24" s="128">
        <v>22</v>
      </c>
      <c r="C24" s="27">
        <v>25</v>
      </c>
      <c r="D24" s="19">
        <v>26</v>
      </c>
      <c r="E24" s="19">
        <v>27</v>
      </c>
      <c r="F24" s="19">
        <v>28</v>
      </c>
      <c r="G24" s="19">
        <v>29</v>
      </c>
      <c r="H24" s="20">
        <v>30</v>
      </c>
      <c r="I24" s="20">
        <v>31</v>
      </c>
    </row>
    <row r="25" spans="1:13" ht="15" customHeight="1" x14ac:dyDescent="0.3">
      <c r="A25" s="773" t="s">
        <v>122</v>
      </c>
      <c r="B25" s="128">
        <v>23</v>
      </c>
      <c r="C25" s="19">
        <v>1</v>
      </c>
      <c r="D25" s="19">
        <v>2</v>
      </c>
      <c r="E25" s="19">
        <v>3</v>
      </c>
      <c r="F25" s="19">
        <v>4</v>
      </c>
      <c r="G25" s="19">
        <v>5</v>
      </c>
      <c r="H25" s="20">
        <v>6</v>
      </c>
      <c r="I25" s="20">
        <v>7</v>
      </c>
    </row>
    <row r="26" spans="1:13" ht="14.4" x14ac:dyDescent="0.3">
      <c r="A26" s="774"/>
      <c r="B26" s="128">
        <v>24</v>
      </c>
      <c r="C26" s="19">
        <v>8</v>
      </c>
      <c r="D26" s="19">
        <v>9</v>
      </c>
      <c r="E26" s="19">
        <v>10</v>
      </c>
      <c r="F26" s="19">
        <v>11</v>
      </c>
      <c r="G26" s="19">
        <v>12</v>
      </c>
      <c r="H26" s="20">
        <v>13</v>
      </c>
      <c r="I26" s="20">
        <v>14</v>
      </c>
    </row>
    <row r="27" spans="1:13" ht="14.4" x14ac:dyDescent="0.3">
      <c r="A27" s="774"/>
      <c r="B27" s="128">
        <v>25</v>
      </c>
      <c r="C27" s="27">
        <v>15</v>
      </c>
      <c r="D27" s="19">
        <v>16</v>
      </c>
      <c r="E27" s="19">
        <v>17</v>
      </c>
      <c r="F27" s="19">
        <v>18</v>
      </c>
      <c r="G27" s="19">
        <v>19</v>
      </c>
      <c r="H27" s="20">
        <v>20</v>
      </c>
      <c r="I27" s="20">
        <v>21</v>
      </c>
    </row>
    <row r="28" spans="1:13" ht="14.4" x14ac:dyDescent="0.3">
      <c r="A28" s="775"/>
      <c r="B28" s="128">
        <v>26</v>
      </c>
      <c r="C28" s="19">
        <v>22</v>
      </c>
      <c r="D28" s="19">
        <v>23</v>
      </c>
      <c r="E28" s="19">
        <v>24</v>
      </c>
      <c r="F28" s="19">
        <v>25</v>
      </c>
      <c r="G28" s="19">
        <v>26</v>
      </c>
      <c r="H28" s="20">
        <v>27</v>
      </c>
      <c r="I28" s="20">
        <v>28</v>
      </c>
    </row>
    <row r="29" spans="1:13" ht="14.4" x14ac:dyDescent="0.3">
      <c r="A29" s="776" t="s">
        <v>127</v>
      </c>
      <c r="B29" s="128">
        <v>27</v>
      </c>
      <c r="C29" s="19">
        <v>29</v>
      </c>
      <c r="D29" s="19">
        <v>30</v>
      </c>
      <c r="E29" s="19">
        <v>1</v>
      </c>
      <c r="F29" s="19">
        <v>2</v>
      </c>
      <c r="G29" s="19">
        <v>3</v>
      </c>
      <c r="H29" s="20">
        <v>4</v>
      </c>
      <c r="I29" s="20">
        <v>5</v>
      </c>
    </row>
    <row r="30" spans="1:13" ht="14.4" x14ac:dyDescent="0.3">
      <c r="A30" s="777"/>
      <c r="B30" s="128">
        <v>28</v>
      </c>
      <c r="C30" s="19">
        <v>6</v>
      </c>
      <c r="D30" s="19">
        <v>7</v>
      </c>
      <c r="E30" s="19">
        <v>8</v>
      </c>
      <c r="F30" s="27">
        <v>9</v>
      </c>
      <c r="G30" s="27">
        <v>10</v>
      </c>
      <c r="H30" s="20">
        <v>11</v>
      </c>
      <c r="I30" s="20">
        <v>12</v>
      </c>
    </row>
    <row r="31" spans="1:13" ht="14.4" x14ac:dyDescent="0.3">
      <c r="A31" s="777"/>
      <c r="B31" s="128">
        <v>29</v>
      </c>
      <c r="C31" s="19">
        <v>13</v>
      </c>
      <c r="D31" s="19">
        <v>14</v>
      </c>
      <c r="E31" s="19">
        <v>15</v>
      </c>
      <c r="F31" s="19">
        <v>16</v>
      </c>
      <c r="G31" s="19">
        <v>17</v>
      </c>
      <c r="H31" s="20">
        <v>18</v>
      </c>
      <c r="I31" s="20">
        <v>19</v>
      </c>
    </row>
    <row r="32" spans="1:13" ht="14.4" x14ac:dyDescent="0.3">
      <c r="A32" s="777"/>
      <c r="B32" s="128">
        <v>30</v>
      </c>
      <c r="C32" s="19">
        <v>20</v>
      </c>
      <c r="D32" s="19">
        <v>21</v>
      </c>
      <c r="E32" s="19">
        <v>22</v>
      </c>
      <c r="F32" s="19">
        <v>23</v>
      </c>
      <c r="G32" s="19">
        <v>24</v>
      </c>
      <c r="H32" s="20">
        <v>25</v>
      </c>
      <c r="I32" s="20">
        <v>26</v>
      </c>
    </row>
    <row r="33" spans="1:9" ht="14.4" x14ac:dyDescent="0.3">
      <c r="A33" s="778"/>
      <c r="B33" s="128">
        <v>31</v>
      </c>
      <c r="C33" s="19">
        <v>27</v>
      </c>
      <c r="D33" s="19">
        <v>28</v>
      </c>
      <c r="E33" s="19">
        <v>29</v>
      </c>
      <c r="F33" s="19">
        <v>30</v>
      </c>
      <c r="G33" s="19">
        <v>31</v>
      </c>
      <c r="H33" s="20">
        <v>1</v>
      </c>
      <c r="I33" s="20">
        <v>2</v>
      </c>
    </row>
    <row r="34" spans="1:9" ht="14.4" x14ac:dyDescent="0.3">
      <c r="A34" s="773" t="s">
        <v>131</v>
      </c>
      <c r="B34" s="128">
        <v>32</v>
      </c>
      <c r="C34" s="19">
        <v>3</v>
      </c>
      <c r="D34" s="19">
        <v>4</v>
      </c>
      <c r="E34" s="19">
        <v>5</v>
      </c>
      <c r="F34" s="19">
        <v>6</v>
      </c>
      <c r="G34" s="19">
        <v>7</v>
      </c>
      <c r="H34" s="20">
        <v>8</v>
      </c>
      <c r="I34" s="20">
        <v>9</v>
      </c>
    </row>
    <row r="35" spans="1:9" ht="14.4" x14ac:dyDescent="0.3">
      <c r="A35" s="774"/>
      <c r="B35" s="128">
        <v>33</v>
      </c>
      <c r="C35" s="19">
        <v>10</v>
      </c>
      <c r="D35" s="19">
        <v>11</v>
      </c>
      <c r="E35" s="19">
        <v>12</v>
      </c>
      <c r="F35" s="19">
        <v>13</v>
      </c>
      <c r="G35" s="19">
        <v>14</v>
      </c>
      <c r="H35" s="20">
        <v>15</v>
      </c>
      <c r="I35" s="20">
        <v>16</v>
      </c>
    </row>
    <row r="36" spans="1:9" ht="14.4" x14ac:dyDescent="0.3">
      <c r="A36" s="774"/>
      <c r="B36" s="128">
        <v>34</v>
      </c>
      <c r="C36" s="27">
        <v>17</v>
      </c>
      <c r="D36" s="19">
        <v>18</v>
      </c>
      <c r="E36" s="19">
        <v>19</v>
      </c>
      <c r="F36" s="19">
        <v>20</v>
      </c>
      <c r="G36" s="19">
        <v>21</v>
      </c>
      <c r="H36" s="20">
        <v>22</v>
      </c>
      <c r="I36" s="20">
        <v>23</v>
      </c>
    </row>
    <row r="37" spans="1:9" ht="14.4" x14ac:dyDescent="0.3">
      <c r="A37" s="775"/>
      <c r="B37" s="128">
        <v>35</v>
      </c>
      <c r="C37" s="19">
        <v>24</v>
      </c>
      <c r="D37" s="19">
        <v>25</v>
      </c>
      <c r="E37" s="19">
        <v>26</v>
      </c>
      <c r="F37" s="19">
        <v>27</v>
      </c>
      <c r="G37" s="19">
        <v>28</v>
      </c>
      <c r="H37" s="20">
        <v>29</v>
      </c>
      <c r="I37" s="20">
        <v>30</v>
      </c>
    </row>
    <row r="38" spans="1:9" ht="14.4" x14ac:dyDescent="0.3">
      <c r="A38" s="776" t="s">
        <v>136</v>
      </c>
      <c r="B38" s="128">
        <v>36</v>
      </c>
      <c r="C38" s="19">
        <v>31</v>
      </c>
      <c r="D38" s="19">
        <v>1</v>
      </c>
      <c r="E38" s="19">
        <v>2</v>
      </c>
      <c r="F38" s="19">
        <v>3</v>
      </c>
      <c r="G38" s="19">
        <v>4</v>
      </c>
      <c r="H38" s="20">
        <v>5</v>
      </c>
      <c r="I38" s="20">
        <v>6</v>
      </c>
    </row>
    <row r="39" spans="1:9" ht="14.4" x14ac:dyDescent="0.3">
      <c r="A39" s="777"/>
      <c r="B39" s="128">
        <v>37</v>
      </c>
      <c r="C39" s="19">
        <v>7</v>
      </c>
      <c r="D39" s="19">
        <v>8</v>
      </c>
      <c r="E39" s="19">
        <v>9</v>
      </c>
      <c r="F39" s="19">
        <v>10</v>
      </c>
      <c r="G39" s="19">
        <v>11</v>
      </c>
      <c r="H39" s="20">
        <v>12</v>
      </c>
      <c r="I39" s="20">
        <v>13</v>
      </c>
    </row>
    <row r="40" spans="1:9" ht="14.4" x14ac:dyDescent="0.3">
      <c r="A40" s="777"/>
      <c r="B40" s="128">
        <v>38</v>
      </c>
      <c r="C40" s="19">
        <v>14</v>
      </c>
      <c r="D40" s="19">
        <v>15</v>
      </c>
      <c r="E40" s="19">
        <v>16</v>
      </c>
      <c r="F40" s="19">
        <v>17</v>
      </c>
      <c r="G40" s="19">
        <v>18</v>
      </c>
      <c r="H40" s="20">
        <v>19</v>
      </c>
      <c r="I40" s="20">
        <v>20</v>
      </c>
    </row>
    <row r="41" spans="1:9" ht="14.4" x14ac:dyDescent="0.3">
      <c r="A41" s="778"/>
      <c r="B41" s="128">
        <v>39</v>
      </c>
      <c r="C41" s="19">
        <v>21</v>
      </c>
      <c r="D41" s="19">
        <v>22</v>
      </c>
      <c r="E41" s="19">
        <v>23</v>
      </c>
      <c r="F41" s="19">
        <v>24</v>
      </c>
      <c r="G41" s="19">
        <v>25</v>
      </c>
      <c r="H41" s="20">
        <v>26</v>
      </c>
      <c r="I41" s="20">
        <v>27</v>
      </c>
    </row>
    <row r="42" spans="1:9" ht="14.4" x14ac:dyDescent="0.3">
      <c r="A42" s="773" t="s">
        <v>138</v>
      </c>
      <c r="B42" s="128">
        <v>40</v>
      </c>
      <c r="C42" s="19">
        <v>28</v>
      </c>
      <c r="D42" s="19">
        <v>29</v>
      </c>
      <c r="E42" s="19">
        <v>30</v>
      </c>
      <c r="F42" s="19">
        <v>1</v>
      </c>
      <c r="G42" s="19">
        <v>2</v>
      </c>
      <c r="H42" s="20">
        <v>3</v>
      </c>
      <c r="I42" s="20">
        <v>4</v>
      </c>
    </row>
    <row r="43" spans="1:9" ht="14.4" x14ac:dyDescent="0.3">
      <c r="A43" s="774"/>
      <c r="B43" s="128">
        <v>41</v>
      </c>
      <c r="C43" s="19">
        <v>5</v>
      </c>
      <c r="D43" s="19">
        <v>6</v>
      </c>
      <c r="E43" s="19">
        <v>7</v>
      </c>
      <c r="F43" s="19">
        <v>8</v>
      </c>
      <c r="G43" s="19">
        <v>9</v>
      </c>
      <c r="H43" s="20">
        <v>10</v>
      </c>
      <c r="I43" s="20">
        <v>11</v>
      </c>
    </row>
    <row r="44" spans="1:9" ht="14.4" x14ac:dyDescent="0.3">
      <c r="A44" s="774"/>
      <c r="B44" s="128">
        <v>42</v>
      </c>
      <c r="C44" s="27">
        <v>12</v>
      </c>
      <c r="D44" s="19">
        <v>13</v>
      </c>
      <c r="E44" s="19">
        <v>14</v>
      </c>
      <c r="F44" s="19">
        <v>15</v>
      </c>
      <c r="G44" s="19">
        <v>16</v>
      </c>
      <c r="H44" s="20">
        <v>17</v>
      </c>
      <c r="I44" s="20">
        <v>18</v>
      </c>
    </row>
    <row r="45" spans="1:9" ht="14.4" x14ac:dyDescent="0.3">
      <c r="A45" s="774"/>
      <c r="B45" s="128">
        <v>43</v>
      </c>
      <c r="C45" s="19">
        <v>19</v>
      </c>
      <c r="D45" s="19">
        <v>20</v>
      </c>
      <c r="E45" s="19">
        <v>21</v>
      </c>
      <c r="F45" s="19">
        <v>22</v>
      </c>
      <c r="G45" s="19">
        <v>23</v>
      </c>
      <c r="H45" s="20">
        <v>24</v>
      </c>
      <c r="I45" s="20">
        <v>25</v>
      </c>
    </row>
    <row r="46" spans="1:9" ht="14.4" x14ac:dyDescent="0.3">
      <c r="A46" s="775"/>
      <c r="B46" s="128">
        <v>44</v>
      </c>
      <c r="C46" s="19">
        <v>26</v>
      </c>
      <c r="D46" s="19">
        <v>27</v>
      </c>
      <c r="E46" s="19">
        <v>28</v>
      </c>
      <c r="F46" s="19">
        <v>29</v>
      </c>
      <c r="G46" s="19">
        <v>30</v>
      </c>
      <c r="H46" s="20">
        <v>31</v>
      </c>
      <c r="I46" s="20">
        <v>1</v>
      </c>
    </row>
    <row r="47" spans="1:9" ht="14.4" x14ac:dyDescent="0.3">
      <c r="A47" s="776" t="s">
        <v>141</v>
      </c>
      <c r="B47" s="128">
        <v>45</v>
      </c>
      <c r="C47" s="19">
        <v>2</v>
      </c>
      <c r="D47" s="19">
        <v>3</v>
      </c>
      <c r="E47" s="19">
        <v>4</v>
      </c>
      <c r="F47" s="19">
        <v>5</v>
      </c>
      <c r="G47" s="19">
        <v>6</v>
      </c>
      <c r="H47" s="20">
        <v>7</v>
      </c>
      <c r="I47" s="20">
        <v>8</v>
      </c>
    </row>
    <row r="48" spans="1:9" ht="14.4" x14ac:dyDescent="0.3">
      <c r="A48" s="777"/>
      <c r="B48" s="128">
        <v>46</v>
      </c>
      <c r="C48" s="19">
        <v>9</v>
      </c>
      <c r="D48" s="19">
        <v>10</v>
      </c>
      <c r="E48" s="19">
        <v>11</v>
      </c>
      <c r="F48" s="19">
        <v>12</v>
      </c>
      <c r="G48" s="19">
        <v>13</v>
      </c>
      <c r="H48" s="20">
        <v>14</v>
      </c>
      <c r="I48" s="20">
        <v>15</v>
      </c>
    </row>
    <row r="49" spans="1:9" ht="14.4" x14ac:dyDescent="0.3">
      <c r="A49" s="777"/>
      <c r="B49" s="128">
        <v>47</v>
      </c>
      <c r="C49" s="19">
        <v>16</v>
      </c>
      <c r="D49" s="19">
        <v>17</v>
      </c>
      <c r="E49" s="19">
        <v>18</v>
      </c>
      <c r="F49" s="19">
        <v>19</v>
      </c>
      <c r="G49" s="19">
        <v>20</v>
      </c>
      <c r="H49" s="20">
        <v>21</v>
      </c>
      <c r="I49" s="20">
        <v>22</v>
      </c>
    </row>
    <row r="50" spans="1:9" ht="14.4" x14ac:dyDescent="0.3">
      <c r="A50" s="778"/>
      <c r="B50" s="128">
        <v>48</v>
      </c>
      <c r="C50" s="27">
        <v>23</v>
      </c>
      <c r="D50" s="19">
        <v>24</v>
      </c>
      <c r="E50" s="19">
        <v>25</v>
      </c>
      <c r="F50" s="19">
        <v>26</v>
      </c>
      <c r="G50" s="19">
        <v>27</v>
      </c>
      <c r="H50" s="20">
        <v>28</v>
      </c>
      <c r="I50" s="20">
        <v>29</v>
      </c>
    </row>
    <row r="51" spans="1:9" ht="14.4" x14ac:dyDescent="0.3">
      <c r="A51" s="773" t="s">
        <v>148</v>
      </c>
      <c r="B51" s="128">
        <v>49</v>
      </c>
      <c r="C51" s="19">
        <v>30</v>
      </c>
      <c r="D51" s="19">
        <v>1</v>
      </c>
      <c r="E51" s="19">
        <v>2</v>
      </c>
      <c r="F51" s="19">
        <v>3</v>
      </c>
      <c r="G51" s="19">
        <v>4</v>
      </c>
      <c r="H51" s="20">
        <v>5</v>
      </c>
      <c r="I51" s="20">
        <v>6</v>
      </c>
    </row>
    <row r="52" spans="1:9" ht="14.4" x14ac:dyDescent="0.3">
      <c r="A52" s="774"/>
      <c r="B52" s="128">
        <v>50</v>
      </c>
      <c r="C52" s="27">
        <v>7</v>
      </c>
      <c r="D52" s="27">
        <v>8</v>
      </c>
      <c r="E52" s="19">
        <v>9</v>
      </c>
      <c r="F52" s="19">
        <v>10</v>
      </c>
      <c r="G52" s="19">
        <v>11</v>
      </c>
      <c r="H52" s="20">
        <v>12</v>
      </c>
      <c r="I52" s="20">
        <v>13</v>
      </c>
    </row>
    <row r="53" spans="1:9" ht="14.4" x14ac:dyDescent="0.3">
      <c r="A53" s="774"/>
      <c r="B53" s="128">
        <v>51</v>
      </c>
      <c r="C53" s="19">
        <v>14</v>
      </c>
      <c r="D53" s="19">
        <v>15</v>
      </c>
      <c r="E53" s="19">
        <v>16</v>
      </c>
      <c r="F53" s="19">
        <v>17</v>
      </c>
      <c r="G53" s="19">
        <v>18</v>
      </c>
      <c r="H53" s="20">
        <v>19</v>
      </c>
      <c r="I53" s="20">
        <v>20</v>
      </c>
    </row>
    <row r="54" spans="1:9" ht="14.4" x14ac:dyDescent="0.3">
      <c r="A54" s="775"/>
      <c r="B54" s="128">
        <v>52</v>
      </c>
      <c r="C54" s="19">
        <v>21</v>
      </c>
      <c r="D54" s="19">
        <v>22</v>
      </c>
      <c r="E54" s="19">
        <v>23</v>
      </c>
      <c r="F54" s="19">
        <v>24</v>
      </c>
      <c r="G54" s="27">
        <v>25</v>
      </c>
      <c r="H54" s="20">
        <v>26</v>
      </c>
      <c r="I54" s="20">
        <v>27</v>
      </c>
    </row>
    <row r="55" spans="1:9" ht="14.4" x14ac:dyDescent="0.3">
      <c r="A55" s="23"/>
      <c r="B55" s="128">
        <v>53</v>
      </c>
      <c r="C55" s="19">
        <v>28</v>
      </c>
      <c r="D55" s="19">
        <v>29</v>
      </c>
      <c r="E55" s="19">
        <v>30</v>
      </c>
      <c r="F55" s="19">
        <v>31</v>
      </c>
      <c r="G55" s="19">
        <v>1</v>
      </c>
      <c r="H55" s="20">
        <v>2</v>
      </c>
      <c r="I55" s="20">
        <v>3</v>
      </c>
    </row>
  </sheetData>
  <mergeCells count="12">
    <mergeCell ref="A51:A54"/>
    <mergeCell ref="A47:A50"/>
    <mergeCell ref="A42:A46"/>
    <mergeCell ref="A38:A41"/>
    <mergeCell ref="A3:A7"/>
    <mergeCell ref="A29:A33"/>
    <mergeCell ref="A25:A28"/>
    <mergeCell ref="A34:A37"/>
    <mergeCell ref="A21:A24"/>
    <mergeCell ref="A16:A20"/>
    <mergeCell ref="A12:A15"/>
    <mergeCell ref="A8:A1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91BC6-25BC-44D2-AC5E-4BF70E6A8BED}">
  <sheetPr>
    <pageSetUpPr fitToPage="1"/>
  </sheetPr>
  <dimension ref="B1:BM62"/>
  <sheetViews>
    <sheetView showGridLines="0" zoomScaleNormal="100" zoomScaleSheetLayoutView="80" workbookViewId="0">
      <selection activeCell="Q1" sqref="Q1"/>
    </sheetView>
  </sheetViews>
  <sheetFormatPr baseColWidth="10" defaultColWidth="2.5" defaultRowHeight="30" customHeight="1" x14ac:dyDescent="0.3"/>
  <cols>
    <col min="1" max="1" width="2.3984375" style="130" customWidth="1"/>
    <col min="2" max="2" width="55.59765625" style="130" customWidth="1"/>
    <col min="3" max="3" width="10.5" style="131" customWidth="1"/>
    <col min="4" max="4" width="16.19921875" style="131" customWidth="1"/>
    <col min="5" max="5" width="14.09765625" style="131" customWidth="1"/>
    <col min="6" max="25" width="2.69921875" style="131" customWidth="1"/>
    <col min="26" max="65" width="2.69921875" style="130" customWidth="1"/>
    <col min="66" max="16384" width="2.5" style="130"/>
  </cols>
  <sheetData>
    <row r="1" spans="2:65" ht="60" customHeight="1" thickBot="1" x14ac:dyDescent="1.05">
      <c r="B1" s="154" t="s">
        <v>741</v>
      </c>
      <c r="C1" s="153"/>
      <c r="D1" s="153"/>
      <c r="E1" s="153"/>
    </row>
    <row r="2" spans="2:65" ht="21" customHeight="1" thickTop="1" thickBot="1" x14ac:dyDescent="0.35">
      <c r="B2" s="781" t="s">
        <v>285</v>
      </c>
      <c r="C2" s="781"/>
      <c r="D2" s="781"/>
      <c r="E2" s="152" t="s">
        <v>284</v>
      </c>
      <c r="F2" s="151">
        <v>3</v>
      </c>
      <c r="H2" s="150"/>
      <c r="I2" s="779" t="s">
        <v>283</v>
      </c>
      <c r="J2" s="780"/>
      <c r="K2" s="780"/>
      <c r="L2" s="780"/>
      <c r="M2" s="780"/>
      <c r="N2" s="790"/>
      <c r="O2" s="149"/>
      <c r="P2" s="782"/>
      <c r="Q2" s="783"/>
      <c r="R2" s="783"/>
      <c r="S2" s="784"/>
      <c r="T2" s="148"/>
      <c r="U2" s="782" t="s">
        <v>282</v>
      </c>
      <c r="V2" s="783"/>
      <c r="W2" s="783"/>
      <c r="X2" s="783"/>
      <c r="Y2" s="784"/>
      <c r="Z2" s="147"/>
      <c r="AA2" s="782" t="s">
        <v>281</v>
      </c>
      <c r="AB2" s="783"/>
      <c r="AC2" s="783"/>
      <c r="AD2" s="783"/>
      <c r="AE2" s="783"/>
      <c r="AF2" s="783"/>
      <c r="AG2" s="784"/>
    </row>
    <row r="3" spans="2:65" s="142" customFormat="1" ht="30" customHeight="1" thickTop="1" thickBot="1" x14ac:dyDescent="0.35">
      <c r="B3" s="785" t="s">
        <v>279</v>
      </c>
      <c r="C3" s="787" t="s">
        <v>278</v>
      </c>
      <c r="D3" s="787" t="s">
        <v>277</v>
      </c>
      <c r="E3" s="789" t="s">
        <v>276</v>
      </c>
      <c r="F3" s="145" t="s">
        <v>275</v>
      </c>
      <c r="G3" s="144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6"/>
      <c r="U3" s="779" t="s">
        <v>280</v>
      </c>
      <c r="V3" s="780"/>
      <c r="W3" s="780"/>
      <c r="X3" s="780"/>
      <c r="Y3" s="780"/>
      <c r="Z3" s="780"/>
      <c r="AA3" s="780"/>
      <c r="AB3" s="780"/>
      <c r="AC3" s="780"/>
      <c r="AD3" s="780"/>
    </row>
    <row r="4" spans="2:65" ht="18" customHeight="1" thickTop="1" x14ac:dyDescent="0.3">
      <c r="B4" s="786"/>
      <c r="C4" s="788"/>
      <c r="D4" s="788"/>
      <c r="E4" s="788"/>
      <c r="F4" s="141">
        <v>1</v>
      </c>
      <c r="G4" s="141">
        <v>2</v>
      </c>
      <c r="H4" s="141">
        <v>3</v>
      </c>
      <c r="I4" s="141">
        <v>4</v>
      </c>
      <c r="J4" s="141">
        <v>5</v>
      </c>
      <c r="K4" s="141">
        <v>6</v>
      </c>
      <c r="L4" s="141">
        <v>7</v>
      </c>
      <c r="M4" s="141">
        <v>8</v>
      </c>
      <c r="N4" s="141">
        <v>9</v>
      </c>
      <c r="O4" s="141">
        <v>10</v>
      </c>
      <c r="P4" s="141">
        <v>11</v>
      </c>
      <c r="Q4" s="141">
        <v>12</v>
      </c>
      <c r="R4" s="141">
        <v>13</v>
      </c>
      <c r="S4" s="141">
        <v>14</v>
      </c>
      <c r="T4" s="141">
        <v>15</v>
      </c>
      <c r="U4" s="141">
        <v>16</v>
      </c>
      <c r="V4" s="141">
        <v>17</v>
      </c>
      <c r="W4" s="141">
        <v>18</v>
      </c>
      <c r="X4" s="141">
        <v>19</v>
      </c>
      <c r="Y4" s="141">
        <v>20</v>
      </c>
      <c r="Z4" s="141">
        <v>21</v>
      </c>
      <c r="AA4" s="141">
        <v>22</v>
      </c>
      <c r="AB4" s="141">
        <v>23</v>
      </c>
      <c r="AC4" s="141">
        <v>24</v>
      </c>
      <c r="AD4" s="141">
        <v>25</v>
      </c>
      <c r="AE4" s="141">
        <v>26</v>
      </c>
      <c r="AF4" s="141">
        <v>27</v>
      </c>
      <c r="AG4" s="141">
        <v>28</v>
      </c>
      <c r="AH4" s="141">
        <v>29</v>
      </c>
      <c r="AI4" s="141">
        <v>30</v>
      </c>
      <c r="AJ4" s="141">
        <v>31</v>
      </c>
      <c r="AK4" s="141">
        <v>32</v>
      </c>
      <c r="AL4" s="141">
        <v>33</v>
      </c>
      <c r="AM4" s="141">
        <v>34</v>
      </c>
      <c r="AN4" s="141">
        <v>35</v>
      </c>
      <c r="AO4" s="141">
        <v>36</v>
      </c>
      <c r="AP4" s="141">
        <v>37</v>
      </c>
      <c r="AQ4" s="141">
        <v>38</v>
      </c>
      <c r="AR4" s="141">
        <v>39</v>
      </c>
      <c r="AS4" s="141">
        <v>40</v>
      </c>
      <c r="AT4" s="141">
        <v>41</v>
      </c>
      <c r="AU4" s="141">
        <v>42</v>
      </c>
      <c r="AV4" s="141">
        <v>43</v>
      </c>
      <c r="AW4" s="141">
        <v>44</v>
      </c>
      <c r="AX4" s="141">
        <v>45</v>
      </c>
      <c r="AY4" s="141">
        <v>46</v>
      </c>
      <c r="AZ4" s="141">
        <v>47</v>
      </c>
      <c r="BA4" s="141">
        <v>48</v>
      </c>
      <c r="BB4" s="141">
        <v>49</v>
      </c>
      <c r="BC4" s="141">
        <v>50</v>
      </c>
      <c r="BD4" s="141">
        <v>51</v>
      </c>
      <c r="BE4" s="141">
        <v>52</v>
      </c>
      <c r="BF4" s="141">
        <v>53</v>
      </c>
      <c r="BG4" s="141">
        <v>54</v>
      </c>
      <c r="BH4" s="141">
        <v>55</v>
      </c>
      <c r="BI4" s="141">
        <v>56</v>
      </c>
      <c r="BJ4" s="141">
        <v>57</v>
      </c>
      <c r="BK4" s="141">
        <v>58</v>
      </c>
      <c r="BL4" s="141">
        <v>59</v>
      </c>
      <c r="BM4" s="141">
        <v>60</v>
      </c>
    </row>
    <row r="5" spans="2:65" ht="30" customHeight="1" x14ac:dyDescent="0.25">
      <c r="B5" s="139" t="s">
        <v>274</v>
      </c>
      <c r="C5" s="138">
        <v>1</v>
      </c>
      <c r="D5" s="138">
        <v>1</v>
      </c>
      <c r="E5" s="137">
        <v>0</v>
      </c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</row>
    <row r="6" spans="2:65" ht="30" customHeight="1" x14ac:dyDescent="0.25">
      <c r="B6" s="139" t="s">
        <v>273</v>
      </c>
      <c r="C6" s="138">
        <v>1</v>
      </c>
      <c r="D6" s="138">
        <v>1</v>
      </c>
      <c r="E6" s="137">
        <v>0</v>
      </c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</row>
    <row r="7" spans="2:65" ht="30" customHeight="1" x14ac:dyDescent="0.25">
      <c r="B7" s="139" t="s">
        <v>272</v>
      </c>
      <c r="C7" s="138">
        <v>1</v>
      </c>
      <c r="D7" s="138">
        <v>1</v>
      </c>
      <c r="E7" s="137">
        <v>0</v>
      </c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</row>
    <row r="8" spans="2:65" ht="30" customHeight="1" x14ac:dyDescent="0.25">
      <c r="B8" s="139" t="s">
        <v>271</v>
      </c>
      <c r="C8" s="138">
        <v>1</v>
      </c>
      <c r="D8" s="138">
        <v>1</v>
      </c>
      <c r="E8" s="137">
        <v>0</v>
      </c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</row>
    <row r="9" spans="2:65" ht="30" customHeight="1" x14ac:dyDescent="0.25">
      <c r="B9" s="139" t="s">
        <v>270</v>
      </c>
      <c r="C9" s="138">
        <v>1</v>
      </c>
      <c r="D9" s="138">
        <v>1</v>
      </c>
      <c r="E9" s="137">
        <v>0</v>
      </c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</row>
    <row r="10" spans="2:65" ht="30" customHeight="1" x14ac:dyDescent="0.25">
      <c r="B10" s="139" t="s">
        <v>269</v>
      </c>
      <c r="C10" s="138">
        <v>1</v>
      </c>
      <c r="D10" s="138">
        <v>1</v>
      </c>
      <c r="E10" s="137">
        <v>0</v>
      </c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</row>
    <row r="11" spans="2:65" ht="30" customHeight="1" x14ac:dyDescent="0.25">
      <c r="B11" s="139" t="s">
        <v>268</v>
      </c>
      <c r="C11" s="138">
        <v>2</v>
      </c>
      <c r="D11" s="138">
        <v>1</v>
      </c>
      <c r="E11" s="137">
        <v>0</v>
      </c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</row>
    <row r="12" spans="2:65" ht="30" customHeight="1" x14ac:dyDescent="0.25">
      <c r="B12" s="139" t="s">
        <v>267</v>
      </c>
      <c r="C12" s="138">
        <v>2</v>
      </c>
      <c r="D12" s="138">
        <v>1</v>
      </c>
      <c r="E12" s="137">
        <v>0</v>
      </c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</row>
    <row r="13" spans="2:65" ht="30" customHeight="1" x14ac:dyDescent="0.25">
      <c r="B13" s="139" t="s">
        <v>80</v>
      </c>
      <c r="C13" s="138">
        <v>2</v>
      </c>
      <c r="D13" s="138">
        <v>2</v>
      </c>
      <c r="E13" s="137">
        <v>0</v>
      </c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</row>
    <row r="14" spans="2:65" ht="30" customHeight="1" x14ac:dyDescent="0.25">
      <c r="B14" s="139" t="s">
        <v>266</v>
      </c>
      <c r="C14" s="140">
        <v>2</v>
      </c>
      <c r="D14" s="138">
        <v>2</v>
      </c>
      <c r="E14" s="137">
        <v>0</v>
      </c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</row>
    <row r="15" spans="2:65" ht="30" customHeight="1" x14ac:dyDescent="0.25">
      <c r="B15" s="139" t="s">
        <v>265</v>
      </c>
      <c r="C15" s="138">
        <v>4</v>
      </c>
      <c r="D15" s="138">
        <v>4</v>
      </c>
      <c r="E15" s="137">
        <v>0</v>
      </c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</row>
    <row r="16" spans="2:65" ht="30" customHeight="1" x14ac:dyDescent="0.25">
      <c r="B16" s="139" t="s">
        <v>264</v>
      </c>
      <c r="C16" s="138">
        <v>8</v>
      </c>
      <c r="D16" s="138">
        <v>2</v>
      </c>
      <c r="E16" s="137">
        <v>0</v>
      </c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</row>
    <row r="17" spans="2:65" ht="30" customHeight="1" x14ac:dyDescent="0.25">
      <c r="B17" s="139" t="s">
        <v>263</v>
      </c>
      <c r="C17" s="138">
        <v>10</v>
      </c>
      <c r="D17" s="138">
        <v>1</v>
      </c>
      <c r="E17" s="137">
        <v>0</v>
      </c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</row>
    <row r="18" spans="2:65" ht="36" customHeight="1" x14ac:dyDescent="0.25">
      <c r="B18" s="139" t="s">
        <v>262</v>
      </c>
      <c r="C18" s="138">
        <v>1</v>
      </c>
      <c r="D18" s="138">
        <v>10</v>
      </c>
      <c r="E18" s="137">
        <v>0</v>
      </c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</row>
    <row r="19" spans="2:65" ht="30" customHeight="1" x14ac:dyDescent="0.25">
      <c r="B19" s="139" t="s">
        <v>261</v>
      </c>
      <c r="C19" s="138">
        <v>10</v>
      </c>
      <c r="D19" s="138">
        <v>5</v>
      </c>
      <c r="E19" s="137">
        <v>0</v>
      </c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</row>
    <row r="20" spans="2:65" ht="30" customHeight="1" x14ac:dyDescent="0.25">
      <c r="B20" s="136" t="s">
        <v>260</v>
      </c>
      <c r="C20" s="135">
        <v>13</v>
      </c>
      <c r="D20" s="135">
        <v>1</v>
      </c>
      <c r="E20" s="134">
        <v>0</v>
      </c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</row>
    <row r="21" spans="2:65" ht="30" customHeight="1" x14ac:dyDescent="0.3">
      <c r="B21" s="132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</row>
    <row r="22" spans="2:65" ht="57.6" customHeight="1" thickBot="1" x14ac:dyDescent="1.05">
      <c r="B22" s="154" t="s">
        <v>740</v>
      </c>
      <c r="C22" s="153"/>
      <c r="D22" s="153"/>
      <c r="E22" s="153"/>
    </row>
    <row r="23" spans="2:65" ht="22.2" customHeight="1" thickTop="1" thickBot="1" x14ac:dyDescent="0.35">
      <c r="B23" s="781" t="s">
        <v>285</v>
      </c>
      <c r="C23" s="781"/>
      <c r="D23" s="781"/>
      <c r="E23" s="152" t="s">
        <v>284</v>
      </c>
      <c r="F23" s="151">
        <v>8</v>
      </c>
      <c r="H23" s="150"/>
      <c r="I23" s="779" t="s">
        <v>283</v>
      </c>
      <c r="J23" s="780"/>
      <c r="K23" s="780"/>
      <c r="L23" s="780"/>
      <c r="M23" s="780"/>
      <c r="N23" s="790"/>
      <c r="O23" s="149"/>
      <c r="P23" s="782"/>
      <c r="Q23" s="783"/>
      <c r="R23" s="783"/>
      <c r="S23" s="784"/>
      <c r="T23" s="148"/>
      <c r="U23" s="782" t="s">
        <v>282</v>
      </c>
      <c r="V23" s="783"/>
      <c r="W23" s="783"/>
      <c r="X23" s="783"/>
      <c r="Y23" s="784"/>
      <c r="Z23" s="147"/>
      <c r="AA23" s="782" t="s">
        <v>281</v>
      </c>
      <c r="AB23" s="783"/>
      <c r="AC23" s="783"/>
      <c r="AD23" s="783"/>
      <c r="AE23" s="783"/>
      <c r="AF23" s="783"/>
      <c r="AG23" s="784"/>
    </row>
    <row r="24" spans="2:65" ht="30" customHeight="1" thickTop="1" thickBot="1" x14ac:dyDescent="0.35">
      <c r="B24" s="785" t="s">
        <v>279</v>
      </c>
      <c r="C24" s="787" t="s">
        <v>278</v>
      </c>
      <c r="D24" s="787" t="s">
        <v>277</v>
      </c>
      <c r="E24" s="789" t="s">
        <v>276</v>
      </c>
      <c r="F24" s="145" t="s">
        <v>275</v>
      </c>
      <c r="G24" s="144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6"/>
      <c r="U24" s="779" t="s">
        <v>280</v>
      </c>
      <c r="V24" s="780"/>
      <c r="W24" s="780"/>
      <c r="X24" s="780"/>
      <c r="Y24" s="780"/>
      <c r="Z24" s="780"/>
      <c r="AA24" s="780"/>
      <c r="AB24" s="780"/>
      <c r="AC24" s="780"/>
      <c r="AD24" s="780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</row>
    <row r="25" spans="2:65" ht="18" customHeight="1" thickTop="1" x14ac:dyDescent="0.3">
      <c r="B25" s="786"/>
      <c r="C25" s="788"/>
      <c r="D25" s="788"/>
      <c r="E25" s="788"/>
      <c r="F25" s="141">
        <v>1</v>
      </c>
      <c r="G25" s="141">
        <v>2</v>
      </c>
      <c r="H25" s="141">
        <v>3</v>
      </c>
      <c r="I25" s="141">
        <v>4</v>
      </c>
      <c r="J25" s="141">
        <v>5</v>
      </c>
      <c r="K25" s="141">
        <v>6</v>
      </c>
      <c r="L25" s="141">
        <v>7</v>
      </c>
      <c r="M25" s="141">
        <v>8</v>
      </c>
      <c r="N25" s="141">
        <v>9</v>
      </c>
      <c r="O25" s="141">
        <v>10</v>
      </c>
      <c r="P25" s="141">
        <v>11</v>
      </c>
      <c r="Q25" s="141">
        <v>12</v>
      </c>
      <c r="R25" s="141">
        <v>13</v>
      </c>
      <c r="S25" s="141">
        <v>14</v>
      </c>
      <c r="T25" s="141">
        <v>15</v>
      </c>
      <c r="U25" s="141">
        <v>16</v>
      </c>
      <c r="V25" s="141">
        <v>17</v>
      </c>
      <c r="W25" s="141">
        <v>18</v>
      </c>
      <c r="X25" s="141">
        <v>19</v>
      </c>
      <c r="Y25" s="141">
        <v>20</v>
      </c>
      <c r="Z25" s="141">
        <v>21</v>
      </c>
      <c r="AA25" s="141">
        <v>22</v>
      </c>
      <c r="AB25" s="141">
        <v>23</v>
      </c>
      <c r="AC25" s="141">
        <v>24</v>
      </c>
      <c r="AD25" s="141">
        <v>25</v>
      </c>
      <c r="AE25" s="141">
        <v>26</v>
      </c>
      <c r="AF25" s="141">
        <v>27</v>
      </c>
      <c r="AG25" s="141">
        <v>28</v>
      </c>
      <c r="AH25" s="141">
        <v>29</v>
      </c>
      <c r="AI25" s="141">
        <v>30</v>
      </c>
      <c r="AJ25" s="141">
        <v>31</v>
      </c>
      <c r="AK25" s="141">
        <v>32</v>
      </c>
      <c r="AL25" s="141">
        <v>33</v>
      </c>
      <c r="AM25" s="141">
        <v>34</v>
      </c>
      <c r="AN25" s="141">
        <v>35</v>
      </c>
      <c r="AO25" s="141">
        <v>36</v>
      </c>
      <c r="AP25" s="141">
        <v>37</v>
      </c>
      <c r="AQ25" s="141">
        <v>38</v>
      </c>
      <c r="AR25" s="141">
        <v>39</v>
      </c>
      <c r="AS25" s="141">
        <v>40</v>
      </c>
      <c r="AT25" s="141">
        <v>41</v>
      </c>
      <c r="AU25" s="141">
        <v>42</v>
      </c>
      <c r="AV25" s="141">
        <v>43</v>
      </c>
      <c r="AW25" s="141">
        <v>44</v>
      </c>
    </row>
    <row r="26" spans="2:65" ht="30" customHeight="1" x14ac:dyDescent="0.25">
      <c r="B26" s="139" t="s">
        <v>274</v>
      </c>
      <c r="C26" s="138">
        <v>1</v>
      </c>
      <c r="D26" s="138">
        <v>1</v>
      </c>
      <c r="E26" s="137">
        <v>0</v>
      </c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</row>
    <row r="27" spans="2:65" ht="30" customHeight="1" x14ac:dyDescent="0.25">
      <c r="B27" s="139" t="s">
        <v>273</v>
      </c>
      <c r="C27" s="138">
        <v>1</v>
      </c>
      <c r="D27" s="138">
        <v>1</v>
      </c>
      <c r="E27" s="137">
        <v>0</v>
      </c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</row>
    <row r="28" spans="2:65" ht="30" customHeight="1" x14ac:dyDescent="0.25">
      <c r="B28" s="139" t="s">
        <v>272</v>
      </c>
      <c r="C28" s="138">
        <v>1</v>
      </c>
      <c r="D28" s="138">
        <v>1</v>
      </c>
      <c r="E28" s="137">
        <v>0</v>
      </c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</row>
    <row r="29" spans="2:65" ht="30" customHeight="1" x14ac:dyDescent="0.25">
      <c r="B29" s="139" t="s">
        <v>271</v>
      </c>
      <c r="C29" s="138">
        <v>1</v>
      </c>
      <c r="D29" s="138">
        <v>1</v>
      </c>
      <c r="E29" s="137">
        <v>0</v>
      </c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</row>
    <row r="30" spans="2:65" ht="30" customHeight="1" x14ac:dyDescent="0.25">
      <c r="B30" s="139" t="s">
        <v>270</v>
      </c>
      <c r="C30" s="138">
        <v>1</v>
      </c>
      <c r="D30" s="138">
        <v>1</v>
      </c>
      <c r="E30" s="137">
        <v>0</v>
      </c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</row>
    <row r="31" spans="2:65" ht="30" customHeight="1" x14ac:dyDescent="0.25">
      <c r="B31" s="139" t="s">
        <v>269</v>
      </c>
      <c r="C31" s="138">
        <v>1</v>
      </c>
      <c r="D31" s="138">
        <v>1</v>
      </c>
      <c r="E31" s="137">
        <v>0</v>
      </c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</row>
    <row r="32" spans="2:65" ht="30" customHeight="1" x14ac:dyDescent="0.25">
      <c r="B32" s="139" t="s">
        <v>268</v>
      </c>
      <c r="C32" s="138">
        <v>2</v>
      </c>
      <c r="D32" s="138">
        <v>1</v>
      </c>
      <c r="E32" s="137">
        <v>0</v>
      </c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</row>
    <row r="33" spans="2:49" ht="30" customHeight="1" x14ac:dyDescent="0.25">
      <c r="B33" s="139" t="s">
        <v>267</v>
      </c>
      <c r="C33" s="138">
        <v>2</v>
      </c>
      <c r="D33" s="138">
        <v>2</v>
      </c>
      <c r="E33" s="137">
        <v>0</v>
      </c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</row>
    <row r="34" spans="2:49" ht="30" customHeight="1" x14ac:dyDescent="0.25">
      <c r="B34" s="139" t="s">
        <v>80</v>
      </c>
      <c r="C34" s="138">
        <v>3</v>
      </c>
      <c r="D34" s="138">
        <v>2</v>
      </c>
      <c r="E34" s="137">
        <v>0</v>
      </c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</row>
    <row r="35" spans="2:49" ht="30" customHeight="1" x14ac:dyDescent="0.25">
      <c r="B35" s="139" t="s">
        <v>266</v>
      </c>
      <c r="C35" s="140">
        <v>4</v>
      </c>
      <c r="D35" s="138">
        <v>2</v>
      </c>
      <c r="E35" s="137">
        <v>0</v>
      </c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</row>
    <row r="36" spans="2:49" ht="30" customHeight="1" x14ac:dyDescent="0.25">
      <c r="B36" s="139" t="s">
        <v>265</v>
      </c>
      <c r="C36" s="138">
        <v>5</v>
      </c>
      <c r="D36" s="138">
        <v>5</v>
      </c>
      <c r="E36" s="137">
        <v>0</v>
      </c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</row>
    <row r="37" spans="2:49" ht="30" customHeight="1" x14ac:dyDescent="0.25">
      <c r="B37" s="139" t="s">
        <v>264</v>
      </c>
      <c r="C37" s="138">
        <v>10</v>
      </c>
      <c r="D37" s="138">
        <v>2</v>
      </c>
      <c r="E37" s="137">
        <v>0</v>
      </c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</row>
    <row r="38" spans="2:49" ht="30" customHeight="1" x14ac:dyDescent="0.25">
      <c r="B38" s="139" t="s">
        <v>263</v>
      </c>
      <c r="C38" s="138">
        <v>12</v>
      </c>
      <c r="D38" s="138">
        <v>1</v>
      </c>
      <c r="E38" s="137">
        <v>0</v>
      </c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</row>
    <row r="39" spans="2:49" ht="30" customHeight="1" x14ac:dyDescent="0.25">
      <c r="B39" s="139" t="s">
        <v>262</v>
      </c>
      <c r="C39" s="138">
        <v>1</v>
      </c>
      <c r="D39" s="138">
        <v>10</v>
      </c>
      <c r="E39" s="137">
        <v>0</v>
      </c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</row>
    <row r="40" spans="2:49" ht="30" customHeight="1" x14ac:dyDescent="0.25">
      <c r="B40" s="139" t="s">
        <v>261</v>
      </c>
      <c r="C40" s="138">
        <v>12</v>
      </c>
      <c r="D40" s="138">
        <v>6</v>
      </c>
      <c r="E40" s="137">
        <v>0</v>
      </c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</row>
    <row r="41" spans="2:49" ht="30" customHeight="1" thickBot="1" x14ac:dyDescent="0.3">
      <c r="B41" s="351" t="s">
        <v>260</v>
      </c>
      <c r="C41" s="352">
        <v>16</v>
      </c>
      <c r="D41" s="352">
        <v>1</v>
      </c>
      <c r="E41" s="353">
        <v>0</v>
      </c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4"/>
      <c r="T41" s="354"/>
      <c r="U41" s="354"/>
      <c r="V41" s="354"/>
      <c r="W41" s="354"/>
      <c r="X41" s="354"/>
      <c r="Y41" s="354"/>
      <c r="Z41" s="354"/>
      <c r="AA41" s="354"/>
      <c r="AB41" s="354"/>
      <c r="AC41" s="354"/>
      <c r="AD41" s="354"/>
      <c r="AE41" s="354"/>
      <c r="AF41" s="354"/>
      <c r="AG41" s="354"/>
      <c r="AH41" s="354"/>
      <c r="AI41" s="354"/>
      <c r="AJ41" s="354"/>
      <c r="AK41" s="354"/>
      <c r="AL41" s="354"/>
      <c r="AM41" s="354"/>
      <c r="AN41" s="354"/>
      <c r="AO41" s="354"/>
      <c r="AP41" s="354"/>
      <c r="AQ41" s="354"/>
      <c r="AR41" s="354"/>
      <c r="AS41" s="354"/>
      <c r="AT41" s="354"/>
      <c r="AU41" s="354"/>
      <c r="AV41" s="354"/>
      <c r="AW41" s="354"/>
    </row>
    <row r="42" spans="2:49" ht="30" customHeight="1" x14ac:dyDescent="0.3">
      <c r="F42" s="355"/>
      <c r="G42" s="355"/>
      <c r="H42" s="355"/>
      <c r="I42" s="355"/>
      <c r="J42" s="355"/>
      <c r="K42" s="355"/>
      <c r="L42" s="355"/>
      <c r="M42" s="355"/>
      <c r="N42" s="355"/>
      <c r="O42" s="355"/>
      <c r="P42" s="355"/>
      <c r="Q42" s="355"/>
      <c r="R42" s="355"/>
      <c r="S42" s="355"/>
      <c r="T42" s="355"/>
      <c r="U42" s="355"/>
      <c r="V42" s="355"/>
      <c r="W42" s="355"/>
      <c r="X42" s="355"/>
      <c r="Y42" s="355"/>
      <c r="Z42" s="356"/>
      <c r="AA42" s="356"/>
      <c r="AB42" s="356"/>
      <c r="AC42" s="356"/>
      <c r="AD42" s="356"/>
      <c r="AE42" s="356"/>
      <c r="AF42" s="356"/>
      <c r="AG42" s="356"/>
      <c r="AH42" s="356"/>
      <c r="AI42" s="356"/>
      <c r="AJ42" s="356"/>
      <c r="AK42" s="356"/>
      <c r="AL42" s="356"/>
      <c r="AM42" s="356"/>
      <c r="AN42" s="356"/>
      <c r="AO42" s="356"/>
      <c r="AP42" s="356"/>
      <c r="AQ42" s="356"/>
      <c r="AR42" s="356"/>
      <c r="AS42" s="356"/>
      <c r="AT42" s="356"/>
      <c r="AU42" s="356"/>
      <c r="AV42" s="356"/>
      <c r="AW42" s="356"/>
    </row>
    <row r="43" spans="2:49" ht="54.6" thickBot="1" x14ac:dyDescent="1.05">
      <c r="B43" s="154" t="s">
        <v>742</v>
      </c>
      <c r="C43" s="153"/>
      <c r="D43" s="153"/>
      <c r="E43" s="153"/>
    </row>
    <row r="44" spans="2:49" ht="30" customHeight="1" thickTop="1" thickBot="1" x14ac:dyDescent="0.35">
      <c r="B44" s="781" t="s">
        <v>285</v>
      </c>
      <c r="C44" s="781"/>
      <c r="D44" s="781"/>
      <c r="E44" s="152" t="s">
        <v>284</v>
      </c>
      <c r="F44" s="151">
        <v>13</v>
      </c>
      <c r="H44" s="150"/>
      <c r="I44" s="779" t="s">
        <v>283</v>
      </c>
      <c r="J44" s="780"/>
      <c r="K44" s="780"/>
      <c r="L44" s="780"/>
      <c r="M44" s="780"/>
      <c r="N44" s="790"/>
      <c r="O44" s="149"/>
      <c r="P44" s="782"/>
      <c r="Q44" s="783"/>
      <c r="R44" s="783"/>
      <c r="S44" s="784"/>
      <c r="T44" s="148"/>
      <c r="U44" s="782" t="s">
        <v>282</v>
      </c>
      <c r="V44" s="783"/>
      <c r="W44" s="783"/>
      <c r="X44" s="783"/>
      <c r="Y44" s="784"/>
      <c r="Z44" s="147"/>
      <c r="AA44" s="782" t="s">
        <v>281</v>
      </c>
      <c r="AB44" s="783"/>
      <c r="AC44" s="783"/>
      <c r="AD44" s="783"/>
      <c r="AE44" s="783"/>
      <c r="AF44" s="783"/>
      <c r="AG44" s="784"/>
    </row>
    <row r="45" spans="2:49" ht="30" customHeight="1" thickTop="1" thickBot="1" x14ac:dyDescent="0.35">
      <c r="B45" s="785" t="s">
        <v>279</v>
      </c>
      <c r="C45" s="787" t="s">
        <v>278</v>
      </c>
      <c r="D45" s="787" t="s">
        <v>277</v>
      </c>
      <c r="E45" s="789" t="s">
        <v>276</v>
      </c>
      <c r="F45" s="145" t="s">
        <v>275</v>
      </c>
      <c r="G45" s="144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6"/>
      <c r="U45" s="779" t="s">
        <v>280</v>
      </c>
      <c r="V45" s="780"/>
      <c r="W45" s="780"/>
      <c r="X45" s="780"/>
      <c r="Y45" s="780"/>
      <c r="Z45" s="780"/>
      <c r="AA45" s="780"/>
      <c r="AB45" s="780"/>
      <c r="AC45" s="780"/>
      <c r="AD45" s="780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</row>
    <row r="46" spans="2:49" ht="18" customHeight="1" thickTop="1" x14ac:dyDescent="0.3">
      <c r="B46" s="786"/>
      <c r="C46" s="788"/>
      <c r="D46" s="788"/>
      <c r="E46" s="788"/>
      <c r="F46" s="141">
        <v>1</v>
      </c>
      <c r="G46" s="141">
        <v>2</v>
      </c>
      <c r="H46" s="141">
        <v>3</v>
      </c>
      <c r="I46" s="141">
        <v>4</v>
      </c>
      <c r="J46" s="141">
        <v>5</v>
      </c>
      <c r="K46" s="141">
        <v>6</v>
      </c>
      <c r="L46" s="141">
        <v>7</v>
      </c>
      <c r="M46" s="141">
        <v>8</v>
      </c>
      <c r="N46" s="141">
        <v>9</v>
      </c>
      <c r="O46" s="141">
        <v>10</v>
      </c>
      <c r="P46" s="141">
        <v>11</v>
      </c>
      <c r="Q46" s="141">
        <v>12</v>
      </c>
      <c r="R46" s="141">
        <v>13</v>
      </c>
      <c r="S46" s="141">
        <v>14</v>
      </c>
      <c r="T46" s="141">
        <v>15</v>
      </c>
      <c r="U46" s="141">
        <v>16</v>
      </c>
      <c r="V46" s="141">
        <v>17</v>
      </c>
      <c r="W46" s="141">
        <v>18</v>
      </c>
      <c r="X46" s="141">
        <v>19</v>
      </c>
      <c r="Y46" s="141">
        <v>20</v>
      </c>
      <c r="Z46" s="141">
        <v>21</v>
      </c>
      <c r="AA46" s="141">
        <v>22</v>
      </c>
      <c r="AB46" s="141">
        <v>23</v>
      </c>
      <c r="AC46" s="141">
        <v>24</v>
      </c>
      <c r="AD46" s="141">
        <v>25</v>
      </c>
      <c r="AE46" s="141">
        <v>26</v>
      </c>
      <c r="AF46" s="141">
        <v>27</v>
      </c>
      <c r="AG46" s="141">
        <v>28</v>
      </c>
      <c r="AH46" s="141">
        <v>29</v>
      </c>
      <c r="AI46" s="141">
        <v>30</v>
      </c>
      <c r="AJ46" s="141">
        <v>31</v>
      </c>
      <c r="AK46" s="141">
        <v>32</v>
      </c>
      <c r="AL46" s="141">
        <v>33</v>
      </c>
      <c r="AM46" s="141">
        <v>34</v>
      </c>
      <c r="AN46" s="141">
        <v>35</v>
      </c>
      <c r="AO46" s="141">
        <v>36</v>
      </c>
      <c r="AP46" s="141">
        <v>37</v>
      </c>
      <c r="AQ46" s="141">
        <v>38</v>
      </c>
      <c r="AR46" s="141">
        <v>39</v>
      </c>
      <c r="AS46" s="141">
        <v>40</v>
      </c>
      <c r="AT46" s="141">
        <v>41</v>
      </c>
      <c r="AU46" s="141">
        <v>42</v>
      </c>
      <c r="AV46" s="141">
        <v>43</v>
      </c>
      <c r="AW46" s="141">
        <v>44</v>
      </c>
    </row>
    <row r="47" spans="2:49" ht="30" customHeight="1" x14ac:dyDescent="0.25">
      <c r="B47" s="139" t="s">
        <v>274</v>
      </c>
      <c r="C47" s="138">
        <v>1</v>
      </c>
      <c r="D47" s="138">
        <v>1</v>
      </c>
      <c r="E47" s="137">
        <v>0</v>
      </c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</row>
    <row r="48" spans="2:49" ht="30" customHeight="1" x14ac:dyDescent="0.25">
      <c r="B48" s="139" t="s">
        <v>273</v>
      </c>
      <c r="C48" s="138">
        <v>1</v>
      </c>
      <c r="D48" s="138">
        <v>1</v>
      </c>
      <c r="E48" s="137">
        <v>0</v>
      </c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</row>
    <row r="49" spans="2:49" ht="30" customHeight="1" x14ac:dyDescent="0.25">
      <c r="B49" s="139" t="s">
        <v>272</v>
      </c>
      <c r="C49" s="138">
        <v>1</v>
      </c>
      <c r="D49" s="138">
        <v>1</v>
      </c>
      <c r="E49" s="137">
        <v>0</v>
      </c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</row>
    <row r="50" spans="2:49" ht="30" customHeight="1" x14ac:dyDescent="0.25">
      <c r="B50" s="139" t="s">
        <v>271</v>
      </c>
      <c r="C50" s="138">
        <v>1</v>
      </c>
      <c r="D50" s="138">
        <v>1</v>
      </c>
      <c r="E50" s="137">
        <v>0</v>
      </c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</row>
    <row r="51" spans="2:49" ht="30" customHeight="1" x14ac:dyDescent="0.25">
      <c r="B51" s="139" t="s">
        <v>270</v>
      </c>
      <c r="C51" s="138">
        <v>1</v>
      </c>
      <c r="D51" s="138">
        <v>1</v>
      </c>
      <c r="E51" s="137">
        <v>0</v>
      </c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</row>
    <row r="52" spans="2:49" ht="30" customHeight="1" x14ac:dyDescent="0.25">
      <c r="B52" s="139" t="s">
        <v>269</v>
      </c>
      <c r="C52" s="138">
        <v>1</v>
      </c>
      <c r="D52" s="138">
        <v>1</v>
      </c>
      <c r="E52" s="137">
        <v>0</v>
      </c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</row>
    <row r="53" spans="2:49" ht="30" customHeight="1" x14ac:dyDescent="0.25">
      <c r="B53" s="139" t="s">
        <v>268</v>
      </c>
      <c r="C53" s="138">
        <v>1</v>
      </c>
      <c r="D53" s="138">
        <v>1</v>
      </c>
      <c r="E53" s="137">
        <v>0</v>
      </c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</row>
    <row r="54" spans="2:49" ht="30" customHeight="1" x14ac:dyDescent="0.25">
      <c r="B54" s="139" t="s">
        <v>267</v>
      </c>
      <c r="C54" s="138">
        <v>2</v>
      </c>
      <c r="D54" s="138">
        <v>1</v>
      </c>
      <c r="E54" s="137">
        <v>0</v>
      </c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</row>
    <row r="55" spans="2:49" ht="30" customHeight="1" x14ac:dyDescent="0.25">
      <c r="B55" s="139" t="s">
        <v>266</v>
      </c>
      <c r="C55" s="140">
        <v>2</v>
      </c>
      <c r="D55" s="138">
        <v>1</v>
      </c>
      <c r="E55" s="137">
        <v>0</v>
      </c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</row>
    <row r="56" spans="2:49" ht="30" customHeight="1" x14ac:dyDescent="0.25">
      <c r="B56" s="139" t="s">
        <v>80</v>
      </c>
      <c r="C56" s="138">
        <v>2</v>
      </c>
      <c r="D56" s="138">
        <v>2</v>
      </c>
      <c r="E56" s="137">
        <v>0</v>
      </c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</row>
    <row r="57" spans="2:49" ht="30" customHeight="1" x14ac:dyDescent="0.25">
      <c r="B57" s="139" t="s">
        <v>265</v>
      </c>
      <c r="C57" s="138">
        <v>4</v>
      </c>
      <c r="D57" s="138">
        <v>3</v>
      </c>
      <c r="E57" s="137">
        <v>0</v>
      </c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</row>
    <row r="58" spans="2:49" ht="30" customHeight="1" x14ac:dyDescent="0.25">
      <c r="B58" s="139" t="s">
        <v>264</v>
      </c>
      <c r="C58" s="138">
        <v>7</v>
      </c>
      <c r="D58" s="138">
        <v>2</v>
      </c>
      <c r="E58" s="137">
        <v>0</v>
      </c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</row>
    <row r="59" spans="2:49" ht="30" customHeight="1" x14ac:dyDescent="0.25">
      <c r="B59" s="139" t="s">
        <v>263</v>
      </c>
      <c r="C59" s="138">
        <v>9</v>
      </c>
      <c r="D59" s="138">
        <v>1</v>
      </c>
      <c r="E59" s="137">
        <v>0</v>
      </c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</row>
    <row r="60" spans="2:49" ht="30" customHeight="1" x14ac:dyDescent="0.25">
      <c r="B60" s="139" t="s">
        <v>262</v>
      </c>
      <c r="C60" s="138">
        <v>1</v>
      </c>
      <c r="D60" s="138">
        <v>5</v>
      </c>
      <c r="E60" s="137">
        <v>0</v>
      </c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</row>
    <row r="61" spans="2:49" ht="30" customHeight="1" x14ac:dyDescent="0.25">
      <c r="B61" s="139" t="s">
        <v>261</v>
      </c>
      <c r="C61" s="138">
        <v>9</v>
      </c>
      <c r="D61" s="138">
        <v>3</v>
      </c>
      <c r="E61" s="137">
        <v>0</v>
      </c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</row>
    <row r="62" spans="2:49" ht="30" customHeight="1" thickBot="1" x14ac:dyDescent="0.3">
      <c r="B62" s="351" t="s">
        <v>260</v>
      </c>
      <c r="C62" s="352">
        <v>10</v>
      </c>
      <c r="D62" s="352">
        <v>1</v>
      </c>
      <c r="E62" s="353">
        <v>0</v>
      </c>
      <c r="F62" s="354"/>
      <c r="G62" s="354"/>
      <c r="H62" s="354"/>
      <c r="I62" s="354"/>
      <c r="J62" s="354"/>
      <c r="K62" s="354"/>
      <c r="L62" s="354"/>
      <c r="M62" s="354"/>
      <c r="N62" s="354"/>
      <c r="O62" s="354"/>
      <c r="P62" s="354"/>
      <c r="Q62" s="354"/>
      <c r="R62" s="354"/>
      <c r="S62" s="354"/>
      <c r="T62" s="354"/>
      <c r="U62" s="354"/>
      <c r="V62" s="354"/>
      <c r="W62" s="354"/>
      <c r="X62" s="354"/>
      <c r="Y62" s="354"/>
      <c r="Z62" s="354"/>
      <c r="AA62" s="354"/>
      <c r="AB62" s="354"/>
      <c r="AC62" s="354"/>
      <c r="AD62" s="354"/>
      <c r="AE62" s="354"/>
      <c r="AF62" s="354"/>
      <c r="AG62" s="354"/>
      <c r="AH62" s="354"/>
      <c r="AI62" s="354"/>
      <c r="AJ62" s="354"/>
      <c r="AK62" s="354"/>
      <c r="AL62" s="354"/>
      <c r="AM62" s="354"/>
      <c r="AN62" s="354"/>
      <c r="AO62" s="354"/>
      <c r="AP62" s="354"/>
      <c r="AQ62" s="354"/>
      <c r="AR62" s="354"/>
      <c r="AS62" s="354"/>
      <c r="AT62" s="354"/>
      <c r="AU62" s="354"/>
      <c r="AV62" s="354"/>
      <c r="AW62" s="354"/>
    </row>
  </sheetData>
  <mergeCells count="30">
    <mergeCell ref="P2:S2"/>
    <mergeCell ref="AA2:AG2"/>
    <mergeCell ref="U2:Y2"/>
    <mergeCell ref="I2:N2"/>
    <mergeCell ref="U3:AD3"/>
    <mergeCell ref="B2:D2"/>
    <mergeCell ref="B3:B4"/>
    <mergeCell ref="C3:C4"/>
    <mergeCell ref="D3:D4"/>
    <mergeCell ref="E3:E4"/>
    <mergeCell ref="U24:AD24"/>
    <mergeCell ref="B23:D23"/>
    <mergeCell ref="P23:S23"/>
    <mergeCell ref="U23:Y23"/>
    <mergeCell ref="AA23:AG23"/>
    <mergeCell ref="B24:B25"/>
    <mergeCell ref="C24:C25"/>
    <mergeCell ref="D24:D25"/>
    <mergeCell ref="E24:E25"/>
    <mergeCell ref="I23:N23"/>
    <mergeCell ref="U45:AD45"/>
    <mergeCell ref="B44:D44"/>
    <mergeCell ref="P44:S44"/>
    <mergeCell ref="U44:Y44"/>
    <mergeCell ref="AA44:AG44"/>
    <mergeCell ref="B45:B46"/>
    <mergeCell ref="C45:C46"/>
    <mergeCell ref="D45:D46"/>
    <mergeCell ref="E45:E46"/>
    <mergeCell ref="I44:N44"/>
  </mergeCells>
  <conditionalFormatting sqref="F5:BM20 F26:AW41 F47:AW62">
    <cfRule type="expression" dxfId="15" priority="20">
      <formula>PercentComplete</formula>
    </cfRule>
    <cfRule type="expression" dxfId="14" priority="21">
      <formula>PercentCompleteBeyond</formula>
    </cfRule>
    <cfRule type="expression" dxfId="13" priority="22">
      <formula>Real</formula>
    </cfRule>
    <cfRule type="expression" dxfId="12" priority="23">
      <formula>ActualBeyond</formula>
    </cfRule>
    <cfRule type="expression" dxfId="11" priority="24">
      <formula>Plan</formula>
    </cfRule>
    <cfRule type="expression" dxfId="10" priority="25">
      <formula>F$4=period_selected</formula>
    </cfRule>
    <cfRule type="expression" dxfId="9" priority="27">
      <formula>MOD(COLUMN(),2)</formula>
    </cfRule>
    <cfRule type="expression" dxfId="8" priority="28">
      <formula>MOD(COLUMN(),2)=0</formula>
    </cfRule>
  </conditionalFormatting>
  <conditionalFormatting sqref="F4:BM4">
    <cfRule type="expression" dxfId="7" priority="26">
      <formula>F$4=period_selected</formula>
    </cfRule>
  </conditionalFormatting>
  <conditionalFormatting sqref="B21:BM21">
    <cfRule type="expression" dxfId="6" priority="19">
      <formula>TRUE</formula>
    </cfRule>
  </conditionalFormatting>
  <conditionalFormatting sqref="F25:AW25">
    <cfRule type="expression" dxfId="5" priority="16">
      <formula>F$4=period_selected</formula>
    </cfRule>
  </conditionalFormatting>
  <conditionalFormatting sqref="F46:AW46">
    <cfRule type="expression" dxfId="4" priority="7">
      <formula>F$4=period_selected</formula>
    </cfRule>
  </conditionalFormatting>
  <dataValidations count="14">
    <dataValidation allowBlank="1" showInputMessage="1" showErrorMessage="1" prompt="Seleccione un período para resaltar en H2. La leyenda de un gráfico está en las celdas J2 a AI2." sqref="B2:D2 B23:D23 B44:D44" xr:uid="{00000000-0002-0000-0000-00000F000000}"/>
    <dataValidation allowBlank="1" showInputMessage="1" showErrorMessage="1" prompt="Título del proyecto. Escriba un nuevo título en esta celda. Resalte un periodo en H2. La leyenda del gráfico está en las celdas J2 a AI2." sqref="B1 B22 B43" xr:uid="{00000000-0002-0000-0000-00000E000000}"/>
    <dataValidation allowBlank="1" showInputMessage="1" showErrorMessage="1" prompt="Escriba el porcentaje de proyecto completado en la columna G, a partir de la celda G5." sqref="E3:E4 E24:E25 E45:E46" xr:uid="{00000000-0002-0000-0000-00000D000000}"/>
    <dataValidation allowBlank="1" showInputMessage="1" showErrorMessage="1" prompt="Escriba el periodo de duración del plan en la columna D, a partir de la celda D5." sqref="D3:D4 D24:D25 D45:D46" xr:uid="{00000000-0002-0000-0000-00000A000000}"/>
    <dataValidation allowBlank="1" showInputMessage="1" showErrorMessage="1" prompt="Escriba el periodo de inicio del plan en la columna C, a partir de la celda C5." sqref="C3:C4 C24:C25 C45:C46" xr:uid="{00000000-0002-0000-0000-000009000000}"/>
    <dataValidation allowBlank="1" showInputMessage="1" showErrorMessage="1" prompt="Escriba la actividad en la columna B, a partir de la celda B5_x000a_" sqref="B3:B4 B24:B25 B45:B46" xr:uid="{00000000-0002-0000-0000-000008000000}"/>
    <dataValidation allowBlank="1" showInputMessage="1" showErrorMessage="1" prompt="Los periodos se representan del 1 al 60, desde la celda H4 a la celda BO4 " sqref="F3 F24 F45" xr:uid="{00000000-0002-0000-0000-000007000000}"/>
    <dataValidation allowBlank="1" showInputMessage="1" showErrorMessage="1" prompt="Esta celda de la leyenda indica el porcentaje del proyecto completado fuera del plan" sqref="T3 T24 T45" xr:uid="{00000000-0002-0000-0000-000006000000}"/>
    <dataValidation allowBlank="1" showInputMessage="1" showErrorMessage="1" prompt="Esta celda de la leyenda indica la duración real fuera del plan" sqref="Z2 Z23 Z44" xr:uid="{00000000-0002-0000-0000-000005000000}"/>
    <dataValidation allowBlank="1" showInputMessage="1" showErrorMessage="1" prompt="Esta celda de la leyenda indica el porcentaje del proyecto completado" sqref="T2 T23 T44" xr:uid="{00000000-0002-0000-0000-000004000000}"/>
    <dataValidation allowBlank="1" showInputMessage="1" showErrorMessage="1" prompt="Esta celda de la leyenda indica la duración real" sqref="O2 O23 O44" xr:uid="{00000000-0002-0000-0000-000003000000}"/>
    <dataValidation allowBlank="1" showInputMessage="1" showErrorMessage="1" prompt="Esta celda de la leyenda indica la duración del plan" sqref="H2 H23 H44" xr:uid="{00000000-0002-0000-0000-000002000000}"/>
    <dataValidation type="list" errorStyle="warning" allowBlank="1" showInputMessage="1" showErrorMessage="1" error="Escriba un valor del 1 al 60 o seleccione un periodo de la lista (presione CANCELAR, ALT+FLECHA ABAJO y, a continuación, presione ENTRAR para seleccionar un valor)." prompt="Escriba un periodo en el intervalo de 1 a 60 o seleccione un periodo de la lista. Presione ALT+FLECHA ABAJO para desplazarse a la lista y, después, presione ENTRAR para seleccionar un valor." sqref="F2 F23 F44" xr:uid="{00000000-0002-0000-0000-000001000000}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El planificador de proyectos usa periodos para los intervalos. Inicio = 1 es el periodo 1 y la duración = 5 significa que el proyecto dura 5 periodos desde el periodo de inicio. Introduzca datos a partir de la celda B5 para actualizar el gráfico." sqref="A1" xr:uid="{00000000-0002-0000-0000-000000000000}"/>
  </dataValidations>
  <printOptions horizontalCentered="1"/>
  <pageMargins left="0.45" right="0.45" top="0.5" bottom="0.5" header="0.3" footer="0.3"/>
  <pageSetup paperSize="9" scale="54" fitToHeight="0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58989-32F0-4007-AF21-8C9474229CAD}">
  <dimension ref="A1:K20"/>
  <sheetViews>
    <sheetView showGridLines="0" workbookViewId="0">
      <selection activeCell="M6" sqref="M6"/>
    </sheetView>
  </sheetViews>
  <sheetFormatPr baseColWidth="10" defaultColWidth="8" defaultRowHeight="13.8" x14ac:dyDescent="0.25"/>
  <cols>
    <col min="1" max="1" width="21.5" style="467" bestFit="1" customWidth="1"/>
    <col min="2" max="2" width="29.5" style="486" customWidth="1"/>
    <col min="3" max="3" width="11.59765625" style="467" customWidth="1"/>
    <col min="4" max="4" width="27.59765625" style="467" customWidth="1"/>
    <col min="5" max="7" width="10.69921875" style="467" customWidth="1"/>
    <col min="8" max="8" width="8" style="467"/>
    <col min="9" max="9" width="9.3984375" style="467" customWidth="1"/>
    <col min="10" max="10" width="6.19921875" style="467" customWidth="1"/>
    <col min="11" max="11" width="16.19921875" style="467" bestFit="1" customWidth="1"/>
    <col min="12" max="16384" width="8" style="467"/>
  </cols>
  <sheetData>
    <row r="1" spans="1:11" ht="27.6" customHeight="1" thickBot="1" x14ac:dyDescent="0.3">
      <c r="A1" s="791" t="s">
        <v>731</v>
      </c>
      <c r="B1" s="791"/>
      <c r="C1" s="791"/>
      <c r="D1" s="791"/>
      <c r="E1" s="791"/>
      <c r="F1" s="791"/>
      <c r="G1" s="791"/>
    </row>
    <row r="2" spans="1:11" ht="27.6" x14ac:dyDescent="0.25">
      <c r="A2" s="468" t="s">
        <v>295</v>
      </c>
      <c r="B2" s="468" t="s">
        <v>296</v>
      </c>
      <c r="C2" s="468" t="s">
        <v>297</v>
      </c>
      <c r="D2" s="469" t="s">
        <v>298</v>
      </c>
      <c r="E2" s="468" t="s">
        <v>733</v>
      </c>
      <c r="F2" s="468" t="s">
        <v>730</v>
      </c>
      <c r="G2" s="468" t="s">
        <v>732</v>
      </c>
      <c r="I2" s="470" t="s">
        <v>734</v>
      </c>
      <c r="J2" s="792" t="s">
        <v>299</v>
      </c>
      <c r="K2" s="793"/>
    </row>
    <row r="3" spans="1:11" ht="27.6" x14ac:dyDescent="0.25">
      <c r="A3" s="471" t="s">
        <v>300</v>
      </c>
      <c r="B3" s="471" t="s">
        <v>738</v>
      </c>
      <c r="C3" s="472">
        <v>1</v>
      </c>
      <c r="D3" s="471" t="s">
        <v>301</v>
      </c>
      <c r="E3" s="473" t="s">
        <v>710</v>
      </c>
      <c r="F3" s="473" t="s">
        <v>710</v>
      </c>
      <c r="G3" s="473" t="s">
        <v>710</v>
      </c>
      <c r="H3" s="474"/>
      <c r="I3" s="475" t="s">
        <v>737</v>
      </c>
      <c r="J3" s="476">
        <v>11</v>
      </c>
      <c r="K3" s="477" t="s">
        <v>785</v>
      </c>
    </row>
    <row r="4" spans="1:11" ht="27.6" x14ac:dyDescent="0.25">
      <c r="A4" s="471" t="s">
        <v>302</v>
      </c>
      <c r="B4" s="471" t="s">
        <v>789</v>
      </c>
      <c r="C4" s="472">
        <v>1</v>
      </c>
      <c r="D4" s="471" t="s">
        <v>790</v>
      </c>
      <c r="E4" s="473" t="s">
        <v>710</v>
      </c>
      <c r="F4" s="473" t="s">
        <v>755</v>
      </c>
      <c r="G4" s="473" t="s">
        <v>791</v>
      </c>
      <c r="H4" s="474"/>
      <c r="I4" s="475" t="s">
        <v>735</v>
      </c>
      <c r="J4" s="476">
        <v>14</v>
      </c>
      <c r="K4" s="477" t="s">
        <v>785</v>
      </c>
    </row>
    <row r="5" spans="1:11" ht="28.2" thickBot="1" x14ac:dyDescent="0.3">
      <c r="A5" s="471" t="s">
        <v>272</v>
      </c>
      <c r="B5" s="471" t="s">
        <v>303</v>
      </c>
      <c r="C5" s="472">
        <v>1</v>
      </c>
      <c r="D5" s="471" t="s">
        <v>304</v>
      </c>
      <c r="E5" s="473" t="s">
        <v>712</v>
      </c>
      <c r="F5" s="473" t="s">
        <v>754</v>
      </c>
      <c r="G5" s="473" t="s">
        <v>761</v>
      </c>
      <c r="H5" s="474"/>
      <c r="I5" s="478" t="s">
        <v>736</v>
      </c>
      <c r="J5" s="479">
        <v>17</v>
      </c>
      <c r="K5" s="480" t="s">
        <v>785</v>
      </c>
    </row>
    <row r="6" spans="1:11" ht="28.95" customHeight="1" x14ac:dyDescent="0.25">
      <c r="A6" s="471" t="s">
        <v>305</v>
      </c>
      <c r="B6" s="471" t="s">
        <v>306</v>
      </c>
      <c r="C6" s="472">
        <v>2</v>
      </c>
      <c r="D6" s="471" t="s">
        <v>307</v>
      </c>
      <c r="E6" s="473" t="s">
        <v>710</v>
      </c>
      <c r="F6" s="473" t="s">
        <v>755</v>
      </c>
      <c r="G6" s="473" t="s">
        <v>755</v>
      </c>
      <c r="H6" s="474"/>
      <c r="K6" s="481"/>
    </row>
    <row r="7" spans="1:11" ht="27.6" x14ac:dyDescent="0.25">
      <c r="A7" s="471" t="s">
        <v>308</v>
      </c>
      <c r="B7" s="471" t="s">
        <v>309</v>
      </c>
      <c r="C7" s="472">
        <v>2</v>
      </c>
      <c r="D7" s="471" t="s">
        <v>310</v>
      </c>
      <c r="E7" s="482" t="s">
        <v>758</v>
      </c>
      <c r="F7" s="482" t="s">
        <v>756</v>
      </c>
      <c r="G7" s="482" t="s">
        <v>711</v>
      </c>
      <c r="H7" s="474"/>
      <c r="J7" s="483"/>
      <c r="K7" s="484"/>
    </row>
    <row r="8" spans="1:11" ht="41.4" x14ac:dyDescent="0.25">
      <c r="A8" s="471" t="s">
        <v>269</v>
      </c>
      <c r="B8" s="471" t="s">
        <v>311</v>
      </c>
      <c r="C8" s="472">
        <v>2</v>
      </c>
      <c r="D8" s="471" t="s">
        <v>312</v>
      </c>
      <c r="E8" s="473" t="s">
        <v>718</v>
      </c>
      <c r="F8" s="473" t="s">
        <v>713</v>
      </c>
      <c r="G8" s="473" t="s">
        <v>713</v>
      </c>
      <c r="H8" s="474"/>
      <c r="K8" s="484"/>
    </row>
    <row r="9" spans="1:11" ht="28.95" customHeight="1" x14ac:dyDescent="0.25">
      <c r="A9" s="471" t="s">
        <v>268</v>
      </c>
      <c r="B9" s="471" t="s">
        <v>723</v>
      </c>
      <c r="C9" s="472">
        <v>2</v>
      </c>
      <c r="D9" s="471" t="s">
        <v>313</v>
      </c>
      <c r="E9" s="473" t="s">
        <v>711</v>
      </c>
      <c r="F9" s="473" t="s">
        <v>718</v>
      </c>
      <c r="G9" s="473" t="s">
        <v>718</v>
      </c>
      <c r="H9" s="474"/>
      <c r="K9" s="481"/>
    </row>
    <row r="10" spans="1:11" ht="41.4" x14ac:dyDescent="0.25">
      <c r="A10" s="471" t="s">
        <v>267</v>
      </c>
      <c r="B10" s="471" t="s">
        <v>722</v>
      </c>
      <c r="C10" s="472">
        <v>2</v>
      </c>
      <c r="D10" s="471" t="s">
        <v>314</v>
      </c>
      <c r="E10" s="473" t="s">
        <v>714</v>
      </c>
      <c r="F10" s="473" t="s">
        <v>713</v>
      </c>
      <c r="G10" s="473" t="s">
        <v>757</v>
      </c>
      <c r="H10" s="474"/>
      <c r="K10" s="481"/>
    </row>
    <row r="11" spans="1:11" ht="41.4" x14ac:dyDescent="0.25">
      <c r="A11" s="471" t="s">
        <v>315</v>
      </c>
      <c r="B11" s="471" t="s">
        <v>724</v>
      </c>
      <c r="C11" s="472">
        <v>2</v>
      </c>
      <c r="D11" s="471" t="s">
        <v>316</v>
      </c>
      <c r="E11" s="485" t="s">
        <v>759</v>
      </c>
      <c r="F11" s="485" t="s">
        <v>717</v>
      </c>
      <c r="G11" s="485" t="s">
        <v>717</v>
      </c>
      <c r="H11" s="474"/>
      <c r="K11" s="481"/>
    </row>
    <row r="12" spans="1:11" ht="27.6" x14ac:dyDescent="0.25">
      <c r="A12" s="471" t="s">
        <v>317</v>
      </c>
      <c r="B12" s="471" t="s">
        <v>725</v>
      </c>
      <c r="C12" s="472">
        <v>2</v>
      </c>
      <c r="D12" s="471" t="s">
        <v>318</v>
      </c>
      <c r="E12" s="473" t="s">
        <v>759</v>
      </c>
      <c r="F12" s="473" t="s">
        <v>716</v>
      </c>
      <c r="G12" s="473" t="s">
        <v>762</v>
      </c>
      <c r="H12" s="474"/>
      <c r="K12" s="481"/>
    </row>
    <row r="13" spans="1:11" ht="28.95" customHeight="1" x14ac:dyDescent="0.25">
      <c r="A13" s="471" t="s">
        <v>264</v>
      </c>
      <c r="B13" s="471" t="s">
        <v>309</v>
      </c>
      <c r="C13" s="472">
        <v>2</v>
      </c>
      <c r="D13" s="471" t="s">
        <v>319</v>
      </c>
      <c r="E13" s="473" t="s">
        <v>716</v>
      </c>
      <c r="F13" s="473" t="s">
        <v>716</v>
      </c>
      <c r="G13" s="473" t="s">
        <v>716</v>
      </c>
      <c r="H13" s="474"/>
      <c r="K13" s="481"/>
    </row>
    <row r="14" spans="1:11" ht="28.95" customHeight="1" x14ac:dyDescent="0.25">
      <c r="A14" s="471" t="s">
        <v>320</v>
      </c>
      <c r="B14" s="471" t="s">
        <v>721</v>
      </c>
      <c r="C14" s="472">
        <v>2</v>
      </c>
      <c r="D14" s="471" t="s">
        <v>321</v>
      </c>
      <c r="E14" s="473" t="s">
        <v>713</v>
      </c>
      <c r="F14" s="473" t="s">
        <v>713</v>
      </c>
      <c r="G14" s="473" t="s">
        <v>713</v>
      </c>
      <c r="H14" s="474"/>
      <c r="K14" s="481"/>
    </row>
    <row r="15" spans="1:11" ht="41.4" x14ac:dyDescent="0.25">
      <c r="A15" s="471" t="s">
        <v>322</v>
      </c>
      <c r="B15" s="471" t="s">
        <v>726</v>
      </c>
      <c r="C15" s="472">
        <v>2</v>
      </c>
      <c r="D15" s="471" t="s">
        <v>323</v>
      </c>
      <c r="E15" s="473" t="s">
        <v>713</v>
      </c>
      <c r="F15" s="473" t="s">
        <v>716</v>
      </c>
      <c r="G15" s="473" t="s">
        <v>716</v>
      </c>
      <c r="H15" s="474"/>
      <c r="K15" s="481"/>
    </row>
    <row r="16" spans="1:11" ht="28.95" customHeight="1" x14ac:dyDescent="0.25">
      <c r="A16" s="471" t="s">
        <v>263</v>
      </c>
      <c r="B16" s="471" t="s">
        <v>324</v>
      </c>
      <c r="C16" s="472">
        <v>2</v>
      </c>
      <c r="D16" s="471" t="s">
        <v>325</v>
      </c>
      <c r="E16" s="473" t="s">
        <v>711</v>
      </c>
      <c r="F16" s="473" t="s">
        <v>718</v>
      </c>
      <c r="G16" s="473" t="s">
        <v>714</v>
      </c>
      <c r="H16" s="474"/>
      <c r="K16" s="481"/>
    </row>
    <row r="17" spans="1:11" ht="41.4" x14ac:dyDescent="0.25">
      <c r="A17" s="471" t="s">
        <v>262</v>
      </c>
      <c r="B17" s="471" t="s">
        <v>727</v>
      </c>
      <c r="C17" s="472">
        <v>2</v>
      </c>
      <c r="D17" s="471" t="s">
        <v>326</v>
      </c>
      <c r="E17" s="485" t="s">
        <v>715</v>
      </c>
      <c r="F17" s="485" t="s">
        <v>719</v>
      </c>
      <c r="G17" s="485" t="s">
        <v>719</v>
      </c>
      <c r="H17" s="474"/>
      <c r="K17" s="481"/>
    </row>
    <row r="18" spans="1:11" ht="27.6" x14ac:dyDescent="0.25">
      <c r="A18" s="471" t="s">
        <v>327</v>
      </c>
      <c r="B18" s="471" t="s">
        <v>728</v>
      </c>
      <c r="C18" s="472">
        <v>2</v>
      </c>
      <c r="D18" s="471" t="s">
        <v>328</v>
      </c>
      <c r="E18" s="473" t="s">
        <v>713</v>
      </c>
      <c r="F18" s="473" t="s">
        <v>716</v>
      </c>
      <c r="G18" s="473" t="s">
        <v>716</v>
      </c>
      <c r="H18" s="474"/>
      <c r="K18" s="481"/>
    </row>
    <row r="19" spans="1:11" ht="55.2" x14ac:dyDescent="0.25">
      <c r="A19" s="471" t="s">
        <v>329</v>
      </c>
      <c r="B19" s="471" t="s">
        <v>729</v>
      </c>
      <c r="C19" s="472">
        <v>2</v>
      </c>
      <c r="D19" s="471" t="s">
        <v>330</v>
      </c>
      <c r="E19" s="485" t="s">
        <v>717</v>
      </c>
      <c r="F19" s="485" t="s">
        <v>720</v>
      </c>
      <c r="G19" s="485" t="s">
        <v>763</v>
      </c>
      <c r="H19" s="474"/>
      <c r="K19" s="481"/>
    </row>
    <row r="20" spans="1:11" ht="55.2" x14ac:dyDescent="0.25">
      <c r="A20" s="471" t="s">
        <v>260</v>
      </c>
      <c r="B20" s="471" t="s">
        <v>729</v>
      </c>
      <c r="C20" s="472">
        <v>2</v>
      </c>
      <c r="D20" s="471" t="s">
        <v>760</v>
      </c>
      <c r="E20" s="473" t="s">
        <v>713</v>
      </c>
      <c r="F20" s="473" t="s">
        <v>713</v>
      </c>
      <c r="G20" s="473" t="s">
        <v>713</v>
      </c>
      <c r="H20" s="474"/>
    </row>
  </sheetData>
  <mergeCells count="2">
    <mergeCell ref="A1:G1"/>
    <mergeCell ref="J2:K2"/>
  </mergeCells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036D4-A843-47D0-B10A-992257A1D103}">
  <dimension ref="A1:L87"/>
  <sheetViews>
    <sheetView showGridLines="0" zoomScaleNormal="100" workbookViewId="0">
      <pane ySplit="1" topLeftCell="A2" activePane="bottomLeft" state="frozen"/>
      <selection pane="bottomLeft" activeCell="K15" sqref="K15"/>
    </sheetView>
  </sheetViews>
  <sheetFormatPr baseColWidth="10" defaultColWidth="11.19921875" defaultRowHeight="14.4" x14ac:dyDescent="0.3"/>
  <cols>
    <col min="1" max="1" width="50.5" style="155" bestFit="1" customWidth="1"/>
    <col min="2" max="3" width="8.8984375" style="155" bestFit="1" customWidth="1"/>
    <col min="4" max="4" width="12.8984375" style="155" bestFit="1" customWidth="1"/>
    <col min="5" max="5" width="15.5" style="155" bestFit="1" customWidth="1"/>
    <col min="6" max="6" width="14.19921875" style="155" bestFit="1" customWidth="1"/>
    <col min="7" max="7" width="9.5" style="156" bestFit="1" customWidth="1"/>
    <col min="8" max="8" width="12" style="155" bestFit="1" customWidth="1"/>
    <col min="9" max="9" width="12.09765625" style="155" bestFit="1" customWidth="1"/>
    <col min="10" max="16384" width="11.19921875" style="155"/>
  </cols>
  <sheetData>
    <row r="1" spans="1:12" s="158" customFormat="1" ht="29.4" thickBot="1" x14ac:dyDescent="0.35">
      <c r="A1" s="462" t="s">
        <v>286</v>
      </c>
      <c r="B1" s="463" t="s">
        <v>287</v>
      </c>
      <c r="C1" s="464" t="s">
        <v>294</v>
      </c>
      <c r="D1" s="463" t="s">
        <v>819</v>
      </c>
      <c r="E1" s="464" t="s">
        <v>289</v>
      </c>
      <c r="F1" s="464" t="s">
        <v>291</v>
      </c>
      <c r="G1" s="465" t="s">
        <v>288</v>
      </c>
      <c r="H1" s="464" t="s">
        <v>290</v>
      </c>
      <c r="I1" s="466" t="s">
        <v>293</v>
      </c>
    </row>
    <row r="2" spans="1:12" x14ac:dyDescent="0.3">
      <c r="A2" s="254" t="s">
        <v>33</v>
      </c>
      <c r="B2" s="458" t="s">
        <v>35</v>
      </c>
      <c r="C2" s="169">
        <v>40</v>
      </c>
      <c r="D2" s="433">
        <f>C2*'Costos MP'!C6</f>
        <v>5688</v>
      </c>
      <c r="E2" s="255">
        <v>20</v>
      </c>
      <c r="F2" s="256">
        <f>Producto!B6*'Plan de Producción'!$L$6+Producto!G6*'Plan de Producción'!$L$7+Producto!L6*'Plan de Producción'!$L$8+Producto!Q6*'Plan de Producción'!$L$9+Producto!V6*'Plan de Producción'!$L$10</f>
        <v>0</v>
      </c>
      <c r="G2" s="257">
        <v>0.1</v>
      </c>
      <c r="H2" s="256">
        <f>F2+F2*G2</f>
        <v>0</v>
      </c>
      <c r="I2" s="258">
        <f>C2-H2</f>
        <v>40</v>
      </c>
      <c r="K2" s="796" t="s">
        <v>876</v>
      </c>
      <c r="L2" s="797"/>
    </row>
    <row r="3" spans="1:12" x14ac:dyDescent="0.3">
      <c r="A3" s="246" t="s">
        <v>36</v>
      </c>
      <c r="B3" s="459" t="s">
        <v>35</v>
      </c>
      <c r="C3" s="167">
        <v>60</v>
      </c>
      <c r="D3" s="433">
        <f>C3*'Costos MP'!C7</f>
        <v>10202.376</v>
      </c>
      <c r="E3" s="243">
        <v>20</v>
      </c>
      <c r="F3" s="244">
        <f>Producto!B7*'Plan de Producción'!$L$6+Producto!G7*'Plan de Producción'!$L$7+Producto!L7*'Plan de Producción'!$L$8+Producto!Q7*'Plan de Producción'!$L$9+Producto!V7*'Plan de Producción'!$L$10</f>
        <v>0</v>
      </c>
      <c r="G3" s="245">
        <v>0.1</v>
      </c>
      <c r="H3" s="244">
        <f t="shared" ref="H3:H77" si="0">F3+F3*G3</f>
        <v>0</v>
      </c>
      <c r="I3" s="247">
        <f t="shared" ref="I3:I77" si="1">C3-H3</f>
        <v>60</v>
      </c>
      <c r="K3" s="797"/>
      <c r="L3" s="797"/>
    </row>
    <row r="4" spans="1:12" ht="15" thickBot="1" x14ac:dyDescent="0.35">
      <c r="A4" s="246" t="s">
        <v>38</v>
      </c>
      <c r="B4" s="459" t="s">
        <v>35</v>
      </c>
      <c r="C4" s="167">
        <v>60</v>
      </c>
      <c r="D4" s="433">
        <f>C4*'Costos MP'!C8</f>
        <v>19384.23</v>
      </c>
      <c r="E4" s="243">
        <v>40</v>
      </c>
      <c r="F4" s="244">
        <f>Producto!B8*'Plan de Producción'!$L$6+Producto!G8*'Plan de Producción'!$L$7+Producto!L8*'Plan de Producción'!$L$8+Producto!Q8*'Plan de Producción'!$L$9+Producto!V8*'Plan de Producción'!$L$10</f>
        <v>0</v>
      </c>
      <c r="G4" s="245">
        <v>0.1</v>
      </c>
      <c r="H4" s="244">
        <f t="shared" si="0"/>
        <v>0</v>
      </c>
      <c r="I4" s="247">
        <f t="shared" si="1"/>
        <v>60</v>
      </c>
    </row>
    <row r="5" spans="1:12" x14ac:dyDescent="0.3">
      <c r="A5" s="361" t="s">
        <v>567</v>
      </c>
      <c r="B5" s="459" t="s">
        <v>40</v>
      </c>
      <c r="C5" s="167">
        <v>400</v>
      </c>
      <c r="D5" s="434">
        <f>C5*'Costos MP'!C10</f>
        <v>28060.799999999999</v>
      </c>
      <c r="E5" s="243">
        <v>375</v>
      </c>
      <c r="F5" s="244">
        <f>Producto!B10*'Plan de Producción'!$L$6+Producto!G10*'Plan de Producción'!$L$7+Producto!L10*'Plan de Producción'!$L$8+Producto!Q10*'Plan de Producción'!$L$9+Producto!V10*'Plan de Producción'!$L$10</f>
        <v>0</v>
      </c>
      <c r="G5" s="245">
        <v>0.05</v>
      </c>
      <c r="H5" s="244">
        <f t="shared" si="0"/>
        <v>0</v>
      </c>
      <c r="I5" s="247">
        <f t="shared" si="1"/>
        <v>400</v>
      </c>
      <c r="K5" s="794" t="s">
        <v>292</v>
      </c>
      <c r="L5" s="795"/>
    </row>
    <row r="6" spans="1:12" x14ac:dyDescent="0.3">
      <c r="A6" s="361" t="s">
        <v>566</v>
      </c>
      <c r="B6" s="459" t="s">
        <v>40</v>
      </c>
      <c r="C6" s="167">
        <v>200</v>
      </c>
      <c r="D6" s="434">
        <f>C6*'Costos MP'!C11</f>
        <v>12483.58</v>
      </c>
      <c r="E6" s="243">
        <v>156</v>
      </c>
      <c r="F6" s="244">
        <f>Producto!B11*'Plan de Producción'!$L$6+Producto!G11*'Plan de Producción'!$L$7+Producto!L11*'Plan de Producción'!$L$8+Producto!Q11*'Plan de Producción'!$L$9+Producto!V11*'Plan de Producción'!$L$10</f>
        <v>0</v>
      </c>
      <c r="G6" s="245">
        <v>0.05</v>
      </c>
      <c r="H6" s="244">
        <f t="shared" si="0"/>
        <v>0</v>
      </c>
      <c r="I6" s="247">
        <f t="shared" si="1"/>
        <v>200</v>
      </c>
      <c r="K6" s="159" t="s">
        <v>2</v>
      </c>
      <c r="L6" s="160">
        <v>0</v>
      </c>
    </row>
    <row r="7" spans="1:12" x14ac:dyDescent="0.3">
      <c r="A7" s="361" t="s">
        <v>568</v>
      </c>
      <c r="B7" s="459" t="s">
        <v>40</v>
      </c>
      <c r="C7" s="167">
        <v>160</v>
      </c>
      <c r="D7" s="434">
        <f>C7*'Costos MP'!C12</f>
        <v>8413.1839999999993</v>
      </c>
      <c r="E7" s="243">
        <v>125</v>
      </c>
      <c r="F7" s="244">
        <f>Producto!B12*'Plan de Producción'!$L$6+Producto!G12*'Plan de Producción'!$L$7+Producto!L12*'Plan de Producción'!$L$8+Producto!Q12*'Plan de Producción'!$L$9+Producto!V12*'Plan de Producción'!$L$10</f>
        <v>0</v>
      </c>
      <c r="G7" s="245">
        <v>0.05</v>
      </c>
      <c r="H7" s="244">
        <f t="shared" si="0"/>
        <v>0</v>
      </c>
      <c r="I7" s="247">
        <f t="shared" si="1"/>
        <v>160</v>
      </c>
      <c r="K7" s="159" t="s">
        <v>8</v>
      </c>
      <c r="L7" s="160">
        <v>0</v>
      </c>
    </row>
    <row r="8" spans="1:12" x14ac:dyDescent="0.3">
      <c r="A8" s="361" t="s">
        <v>331</v>
      </c>
      <c r="B8" s="460" t="s">
        <v>40</v>
      </c>
      <c r="C8" s="167">
        <v>140</v>
      </c>
      <c r="D8" s="434">
        <f>C8*'Costos MP'!C13</f>
        <v>6418.1179999999995</v>
      </c>
      <c r="E8" s="243">
        <v>62.5</v>
      </c>
      <c r="F8" s="244">
        <f>Producto!B13*'Plan de Producción'!$L$6+Producto!G13*'Plan de Producción'!$L$7+Producto!L13*'Plan de Producción'!$L$8+Producto!Q13*'Plan de Producción'!$L$9+Producto!V13*'Plan de Producción'!$L$10</f>
        <v>0</v>
      </c>
      <c r="G8" s="245">
        <v>0.05</v>
      </c>
      <c r="H8" s="244">
        <f t="shared" si="0"/>
        <v>0</v>
      </c>
      <c r="I8" s="247">
        <f t="shared" si="1"/>
        <v>140</v>
      </c>
      <c r="K8" s="159" t="s">
        <v>9</v>
      </c>
      <c r="L8" s="160">
        <v>0</v>
      </c>
    </row>
    <row r="9" spans="1:12" x14ac:dyDescent="0.3">
      <c r="A9" s="246" t="s">
        <v>42</v>
      </c>
      <c r="B9" s="459" t="s">
        <v>40</v>
      </c>
      <c r="C9" s="167">
        <v>450</v>
      </c>
      <c r="D9" s="434">
        <f>C9*'Costos MP'!C14</f>
        <v>970.51499999999987</v>
      </c>
      <c r="E9" s="243">
        <v>360</v>
      </c>
      <c r="F9" s="244">
        <f>Producto!B14*'Plan de Producción'!$L$6+Producto!G14*'Plan de Producción'!$L$7+Producto!L14*'Plan de Producción'!$L$8+Producto!Q14*'Plan de Producción'!$L$9+Producto!V14*'Plan de Producción'!$L$10</f>
        <v>0</v>
      </c>
      <c r="G9" s="245">
        <v>0.05</v>
      </c>
      <c r="H9" s="244">
        <f t="shared" si="0"/>
        <v>0</v>
      </c>
      <c r="I9" s="247">
        <f t="shared" si="1"/>
        <v>450</v>
      </c>
      <c r="K9" s="159" t="s">
        <v>10</v>
      </c>
      <c r="L9" s="160">
        <v>0</v>
      </c>
    </row>
    <row r="10" spans="1:12" ht="15" thickBot="1" x14ac:dyDescent="0.35">
      <c r="A10" s="246" t="s">
        <v>43</v>
      </c>
      <c r="B10" s="459" t="s">
        <v>34</v>
      </c>
      <c r="C10" s="167">
        <v>96</v>
      </c>
      <c r="D10" s="434">
        <f>C10*'Costos MP'!C15</f>
        <v>3080.6207999999997</v>
      </c>
      <c r="E10" s="243">
        <v>32</v>
      </c>
      <c r="F10" s="244">
        <f>Producto!B15*'Plan de Producción'!$L$6+Producto!G15*'Plan de Producción'!$L$7+Producto!L15*'Plan de Producción'!$L$8+Producto!Q15*'Plan de Producción'!$L$9+Producto!V15*'Plan de Producción'!$L$10</f>
        <v>0</v>
      </c>
      <c r="G10" s="245">
        <v>0.1</v>
      </c>
      <c r="H10" s="244">
        <f t="shared" si="0"/>
        <v>0</v>
      </c>
      <c r="I10" s="247">
        <f t="shared" si="1"/>
        <v>96</v>
      </c>
      <c r="K10" s="161" t="s">
        <v>12</v>
      </c>
      <c r="L10" s="162">
        <v>0</v>
      </c>
    </row>
    <row r="11" spans="1:12" x14ac:dyDescent="0.3">
      <c r="A11" s="246" t="s">
        <v>44</v>
      </c>
      <c r="B11" s="459" t="s">
        <v>25</v>
      </c>
      <c r="C11" s="167">
        <v>5000</v>
      </c>
      <c r="D11" s="434">
        <f>C11*'Costos MP'!C16</f>
        <v>5095.5000000000009</v>
      </c>
      <c r="E11" s="243">
        <v>2000</v>
      </c>
      <c r="F11" s="244">
        <f>Producto!B16*'Plan de Producción'!$L$6+Producto!G16*'Plan de Producción'!$L$7+Producto!L16*'Plan de Producción'!$L$8+Producto!Q16*'Plan de Producción'!$L$9+Producto!V16*'Plan de Producción'!$L$10</f>
        <v>0</v>
      </c>
      <c r="G11" s="363">
        <v>5.0000000000000001E-3</v>
      </c>
      <c r="H11" s="244">
        <f t="shared" si="0"/>
        <v>0</v>
      </c>
      <c r="I11" s="247">
        <f t="shared" si="1"/>
        <v>5000</v>
      </c>
    </row>
    <row r="12" spans="1:12" x14ac:dyDescent="0.3">
      <c r="A12" s="246" t="s">
        <v>45</v>
      </c>
      <c r="B12" s="459" t="s">
        <v>25</v>
      </c>
      <c r="C12" s="167">
        <v>6000</v>
      </c>
      <c r="D12" s="434">
        <f>C12*'Costos MP'!C17</f>
        <v>3602.4</v>
      </c>
      <c r="E12" s="243">
        <v>5000</v>
      </c>
      <c r="F12" s="244">
        <f>Producto!B17*'Plan de Producción'!$L$6+Producto!G17*'Plan de Producción'!$L$7+Producto!L17*'Plan de Producción'!$L$8+Producto!Q17*'Plan de Producción'!$L$9+Producto!V17*'Plan de Producción'!$L$10</f>
        <v>0</v>
      </c>
      <c r="G12" s="363">
        <v>5.0000000000000001E-3</v>
      </c>
      <c r="H12" s="244">
        <f t="shared" si="0"/>
        <v>0</v>
      </c>
      <c r="I12" s="247">
        <f t="shared" si="1"/>
        <v>6000</v>
      </c>
    </row>
    <row r="13" spans="1:12" x14ac:dyDescent="0.3">
      <c r="A13" s="246" t="s">
        <v>48</v>
      </c>
      <c r="B13" s="459" t="s">
        <v>40</v>
      </c>
      <c r="C13" s="167">
        <v>260</v>
      </c>
      <c r="D13" s="434">
        <f>C13*'Costos MP'!C22</f>
        <v>73929.622000000003</v>
      </c>
      <c r="E13" s="243">
        <v>208</v>
      </c>
      <c r="F13" s="244">
        <f>Producto!B22*'Plan de Producción'!$L$6+Producto!G22*'Plan de Producción'!$L$7+Producto!L22*'Plan de Producción'!$L$8+Producto!Q22*'Plan de Producción'!$L$9+Producto!V22*'Plan de Producción'!$L$10</f>
        <v>0</v>
      </c>
      <c r="G13" s="364">
        <v>0.05</v>
      </c>
      <c r="H13" s="244">
        <f t="shared" si="0"/>
        <v>0</v>
      </c>
      <c r="I13" s="247">
        <f t="shared" si="1"/>
        <v>260</v>
      </c>
    </row>
    <row r="14" spans="1:12" x14ac:dyDescent="0.3">
      <c r="A14" s="358" t="s">
        <v>767</v>
      </c>
      <c r="B14" s="460" t="s">
        <v>6</v>
      </c>
      <c r="C14" s="167">
        <v>400</v>
      </c>
      <c r="D14" s="434">
        <f>C14*'Costos MP'!C18</f>
        <v>6316.8399999999992</v>
      </c>
      <c r="E14" s="243">
        <v>200</v>
      </c>
      <c r="F14" s="244">
        <f>Producto!B18*$L$6+Producto!G18*$L$7+Producto!L18*$L$8+Producto!Q18*$L$9+Producto!V18*$L$10</f>
        <v>0</v>
      </c>
      <c r="G14" s="364">
        <v>0.05</v>
      </c>
      <c r="H14" s="244">
        <f t="shared" si="0"/>
        <v>0</v>
      </c>
      <c r="I14" s="247">
        <f t="shared" si="1"/>
        <v>400</v>
      </c>
    </row>
    <row r="15" spans="1:12" x14ac:dyDescent="0.3">
      <c r="A15" s="358" t="s">
        <v>768</v>
      </c>
      <c r="B15" s="460" t="s">
        <v>40</v>
      </c>
      <c r="C15" s="167">
        <v>800</v>
      </c>
      <c r="D15" s="434">
        <f>C15*'Costos MP'!C19</f>
        <v>511.92</v>
      </c>
      <c r="E15" s="243">
        <v>400</v>
      </c>
      <c r="F15" s="244">
        <f>Producto!B19*$L$6+Producto!G19*$L$7+Producto!L19*$L$8+Producto!Q19*$L$9+Producto!V19*$L$10</f>
        <v>0</v>
      </c>
      <c r="G15" s="364">
        <v>0.05</v>
      </c>
      <c r="H15" s="244">
        <f t="shared" si="0"/>
        <v>0</v>
      </c>
      <c r="I15" s="247">
        <f t="shared" si="1"/>
        <v>800</v>
      </c>
    </row>
    <row r="16" spans="1:12" x14ac:dyDescent="0.3">
      <c r="A16" s="377" t="s">
        <v>769</v>
      </c>
      <c r="B16" s="460" t="s">
        <v>40</v>
      </c>
      <c r="C16" s="167">
        <v>250</v>
      </c>
      <c r="D16" s="434">
        <f>C16*'Costos MP'!C20</f>
        <v>756.42500000000007</v>
      </c>
      <c r="E16" s="243">
        <v>250</v>
      </c>
      <c r="F16" s="244">
        <f>Producto!B20*$L$6+Producto!G20*$L$7+Producto!L20*$L$8+Producto!Q20*$L$9+Producto!V20*$L$10</f>
        <v>0</v>
      </c>
      <c r="G16" s="364">
        <v>0.05</v>
      </c>
      <c r="H16" s="244">
        <f t="shared" si="0"/>
        <v>0</v>
      </c>
      <c r="I16" s="247">
        <f t="shared" si="1"/>
        <v>250</v>
      </c>
    </row>
    <row r="17" spans="1:9" x14ac:dyDescent="0.3">
      <c r="A17" s="378" t="s">
        <v>770</v>
      </c>
      <c r="B17" s="460" t="s">
        <v>6</v>
      </c>
      <c r="C17" s="167">
        <v>100</v>
      </c>
      <c r="D17" s="434">
        <f>C17*'Costos MP'!C21</f>
        <v>3942.1</v>
      </c>
      <c r="E17" s="243">
        <v>200</v>
      </c>
      <c r="F17" s="244">
        <f>Producto!B21*$L$6+Producto!G21*$L$7+Producto!L21*$L$8+Producto!Q21*$L$9+Producto!V21*$L$10</f>
        <v>0</v>
      </c>
      <c r="G17" s="364">
        <v>0.05</v>
      </c>
      <c r="H17" s="244">
        <f t="shared" si="0"/>
        <v>0</v>
      </c>
      <c r="I17" s="247">
        <f t="shared" si="1"/>
        <v>100</v>
      </c>
    </row>
    <row r="18" spans="1:9" x14ac:dyDescent="0.3">
      <c r="A18" s="246" t="s">
        <v>57</v>
      </c>
      <c r="B18" s="459" t="s">
        <v>6</v>
      </c>
      <c r="C18" s="167">
        <v>240</v>
      </c>
      <c r="D18" s="434">
        <f>C18*'Costos MP'!C23</f>
        <v>60252.984000000004</v>
      </c>
      <c r="E18" s="243">
        <v>180</v>
      </c>
      <c r="F18" s="244">
        <f>Producto!B23*'Plan de Producción'!$L$6+Producto!G23*'Plan de Producción'!$L$7+Producto!L23*'Plan de Producción'!$L$8+Producto!Q23*'Plan de Producción'!$L$9+Producto!V23*'Plan de Producción'!$L$10</f>
        <v>0</v>
      </c>
      <c r="G18" s="245">
        <v>0.05</v>
      </c>
      <c r="H18" s="244">
        <f t="shared" si="0"/>
        <v>0</v>
      </c>
      <c r="I18" s="247">
        <f t="shared" si="1"/>
        <v>240</v>
      </c>
    </row>
    <row r="19" spans="1:9" x14ac:dyDescent="0.3">
      <c r="A19" s="246" t="s">
        <v>62</v>
      </c>
      <c r="B19" s="459" t="s">
        <v>6</v>
      </c>
      <c r="C19" s="167">
        <v>80</v>
      </c>
      <c r="D19" s="434">
        <f>C19*'Costos MP'!C24</f>
        <v>44872</v>
      </c>
      <c r="E19" s="243">
        <v>60</v>
      </c>
      <c r="F19" s="244">
        <f>Producto!B24*'Plan de Producción'!$L$6+Producto!G24*'Plan de Producción'!$L$7+Producto!L24*'Plan de Producción'!$L$8+Producto!Q24*'Plan de Producción'!$L$9+Producto!V24*'Plan de Producción'!$L$10</f>
        <v>0</v>
      </c>
      <c r="G19" s="245">
        <v>0.05</v>
      </c>
      <c r="H19" s="244">
        <f t="shared" si="0"/>
        <v>0</v>
      </c>
      <c r="I19" s="247">
        <f t="shared" si="1"/>
        <v>80</v>
      </c>
    </row>
    <row r="20" spans="1:9" x14ac:dyDescent="0.3">
      <c r="A20" s="246" t="s">
        <v>63</v>
      </c>
      <c r="B20" s="459" t="s">
        <v>40</v>
      </c>
      <c r="C20" s="167">
        <v>100</v>
      </c>
      <c r="D20" s="434">
        <f>C20*'Costos MP'!C25</f>
        <v>7256.9400000000005</v>
      </c>
      <c r="E20" s="243">
        <v>60</v>
      </c>
      <c r="F20" s="244">
        <f>Producto!B25*'Plan de Producción'!$L$6+Producto!G25*'Plan de Producción'!$L$7+Producto!L25*'Plan de Producción'!$L$8+Producto!Q25*'Plan de Producción'!$L$9+Producto!V25*'Plan de Producción'!$L$10</f>
        <v>0</v>
      </c>
      <c r="G20" s="245">
        <v>0.05</v>
      </c>
      <c r="H20" s="244">
        <f t="shared" si="0"/>
        <v>0</v>
      </c>
      <c r="I20" s="247">
        <f t="shared" si="1"/>
        <v>100</v>
      </c>
    </row>
    <row r="21" spans="1:9" x14ac:dyDescent="0.3">
      <c r="A21" s="246" t="s">
        <v>65</v>
      </c>
      <c r="B21" s="459" t="s">
        <v>6</v>
      </c>
      <c r="C21" s="167">
        <v>10</v>
      </c>
      <c r="D21" s="434">
        <f>C21*'Costos MP'!C26</f>
        <v>8690</v>
      </c>
      <c r="E21" s="243">
        <v>5</v>
      </c>
      <c r="F21" s="244">
        <f>Producto!B26*'Plan de Producción'!$L$6+Producto!G26*'Plan de Producción'!$L$7+Producto!L26*'Plan de Producción'!$L$8+Producto!Q26*'Plan de Producción'!$L$9+Producto!V26*'Plan de Producción'!$L$10</f>
        <v>0</v>
      </c>
      <c r="G21" s="245">
        <v>0.05</v>
      </c>
      <c r="H21" s="244">
        <f t="shared" si="0"/>
        <v>0</v>
      </c>
      <c r="I21" s="247">
        <f t="shared" si="1"/>
        <v>10</v>
      </c>
    </row>
    <row r="22" spans="1:9" x14ac:dyDescent="0.3">
      <c r="A22" s="246" t="s">
        <v>66</v>
      </c>
      <c r="B22" s="459" t="s">
        <v>6</v>
      </c>
      <c r="C22" s="167">
        <v>20</v>
      </c>
      <c r="D22" s="434">
        <f>C22*'Costos MP'!C27</f>
        <v>8107.2960000000003</v>
      </c>
      <c r="E22" s="243">
        <v>8</v>
      </c>
      <c r="F22" s="244">
        <f>Producto!B27*'Plan de Producción'!$L$6+Producto!G27*'Plan de Producción'!$L$7+Producto!L27*'Plan de Producción'!$L$8+Producto!Q27*'Plan de Producción'!$L$9+Producto!V27*'Plan de Producción'!$L$10</f>
        <v>0</v>
      </c>
      <c r="G22" s="245">
        <v>0.05</v>
      </c>
      <c r="H22" s="244">
        <f t="shared" si="0"/>
        <v>0</v>
      </c>
      <c r="I22" s="247">
        <f t="shared" si="1"/>
        <v>20</v>
      </c>
    </row>
    <row r="23" spans="1:9" x14ac:dyDescent="0.3">
      <c r="A23" s="246" t="s">
        <v>69</v>
      </c>
      <c r="B23" s="459" t="s">
        <v>34</v>
      </c>
      <c r="C23" s="167">
        <v>100</v>
      </c>
      <c r="D23" s="434">
        <f>C23*'Costos MP'!C28</f>
        <v>11913.990000000002</v>
      </c>
      <c r="E23" s="243">
        <v>60</v>
      </c>
      <c r="F23" s="244">
        <f>Producto!B28*'Plan de Producción'!$L$6+Producto!G28*'Plan de Producción'!$L$7+Producto!L28*'Plan de Producción'!$L$8+Producto!Q28*'Plan de Producción'!$L$9+Producto!V28*'Plan de Producción'!$L$10</f>
        <v>0</v>
      </c>
      <c r="G23" s="245">
        <v>0.1</v>
      </c>
      <c r="H23" s="244">
        <f t="shared" si="0"/>
        <v>0</v>
      </c>
      <c r="I23" s="247">
        <f t="shared" si="1"/>
        <v>100</v>
      </c>
    </row>
    <row r="24" spans="1:9" x14ac:dyDescent="0.3">
      <c r="A24" s="246" t="s">
        <v>74</v>
      </c>
      <c r="B24" s="459" t="s">
        <v>34</v>
      </c>
      <c r="C24" s="167">
        <v>15</v>
      </c>
      <c r="D24" s="434">
        <f>C24*'Costos MP'!C29</f>
        <v>807.45900000000006</v>
      </c>
      <c r="E24" s="243">
        <v>10</v>
      </c>
      <c r="F24" s="244">
        <f>Producto!B29*'Plan de Producción'!$L$6+Producto!G29*'Plan de Producción'!$L$7+Producto!L29*'Plan de Producción'!$L$8+Producto!Q29*'Plan de Producción'!$L$9+Producto!V29*'Plan de Producción'!$L$10</f>
        <v>0</v>
      </c>
      <c r="G24" s="245">
        <v>0.1</v>
      </c>
      <c r="H24" s="244">
        <f t="shared" si="0"/>
        <v>0</v>
      </c>
      <c r="I24" s="247">
        <f t="shared" si="1"/>
        <v>15</v>
      </c>
    </row>
    <row r="25" spans="1:9" x14ac:dyDescent="0.3">
      <c r="A25" s="246" t="s">
        <v>75</v>
      </c>
      <c r="B25" s="459" t="s">
        <v>35</v>
      </c>
      <c r="C25" s="167">
        <v>20</v>
      </c>
      <c r="D25" s="434">
        <f>C25*'Costos MP'!C30</f>
        <v>16217.120000000003</v>
      </c>
      <c r="E25" s="243">
        <v>20</v>
      </c>
      <c r="F25" s="244">
        <f>Producto!B30*'Plan de Producción'!$L$6+Producto!G30*'Plan de Producción'!$L$7+Producto!L30*'Plan de Producción'!$L$8+Producto!Q30*'Plan de Producción'!$L$9+Producto!V30*'Plan de Producción'!$L$10</f>
        <v>0</v>
      </c>
      <c r="G25" s="245">
        <v>0.1</v>
      </c>
      <c r="H25" s="244">
        <f t="shared" si="0"/>
        <v>0</v>
      </c>
      <c r="I25" s="247">
        <f t="shared" si="1"/>
        <v>20</v>
      </c>
    </row>
    <row r="26" spans="1:9" x14ac:dyDescent="0.3">
      <c r="A26" s="246" t="s">
        <v>82</v>
      </c>
      <c r="B26" s="459" t="s">
        <v>25</v>
      </c>
      <c r="C26" s="167">
        <v>3</v>
      </c>
      <c r="D26" s="434">
        <f>C26*'Costos MP'!C32</f>
        <v>663.59999999999991</v>
      </c>
      <c r="E26" s="243">
        <v>4</v>
      </c>
      <c r="F26" s="244">
        <f>Producto!B32*'Plan de Producción'!$L$6+Producto!G32*'Plan de Producción'!$L$7+Producto!L32*'Plan de Producción'!$L$8+Producto!Q32*'Plan de Producción'!$L$9+Producto!V32*'Plan de Producción'!$L$10</f>
        <v>0</v>
      </c>
      <c r="G26" s="245">
        <v>0</v>
      </c>
      <c r="H26" s="244">
        <f t="shared" si="0"/>
        <v>0</v>
      </c>
      <c r="I26" s="247">
        <f t="shared" si="1"/>
        <v>3</v>
      </c>
    </row>
    <row r="27" spans="1:9" x14ac:dyDescent="0.3">
      <c r="A27" s="246" t="s">
        <v>84</v>
      </c>
      <c r="B27" s="459" t="s">
        <v>25</v>
      </c>
      <c r="C27" s="167">
        <v>3</v>
      </c>
      <c r="D27" s="434">
        <f>C27*'Costos MP'!C33</f>
        <v>27255</v>
      </c>
      <c r="E27" s="243">
        <v>4</v>
      </c>
      <c r="F27" s="244">
        <f>Producto!B33*'Plan de Producción'!$L$6+Producto!G33*'Plan de Producción'!$L$7+Producto!L33*'Plan de Producción'!$L$8+Producto!Q33*'Plan de Producción'!$L$9+Producto!V33*'Plan de Producción'!$L$10</f>
        <v>0</v>
      </c>
      <c r="G27" s="245">
        <v>0</v>
      </c>
      <c r="H27" s="244">
        <f t="shared" si="0"/>
        <v>0</v>
      </c>
      <c r="I27" s="247">
        <f t="shared" si="1"/>
        <v>3</v>
      </c>
    </row>
    <row r="28" spans="1:9" x14ac:dyDescent="0.3">
      <c r="A28" s="246" t="s">
        <v>86</v>
      </c>
      <c r="B28" s="459" t="s">
        <v>40</v>
      </c>
      <c r="C28" s="167">
        <v>400</v>
      </c>
      <c r="D28" s="434">
        <f>C28*'Costos MP'!C34</f>
        <v>2938.8</v>
      </c>
      <c r="E28" s="243">
        <v>300</v>
      </c>
      <c r="F28" s="244">
        <f>Producto!B34*'Plan de Producción'!$L$6+Producto!G34*'Plan de Producción'!$L$7+Producto!L34*'Plan de Producción'!$L$8+Producto!Q34*'Plan de Producción'!$L$9+Producto!V34*'Plan de Producción'!$L$10</f>
        <v>0</v>
      </c>
      <c r="G28" s="245">
        <v>0.05</v>
      </c>
      <c r="H28" s="244">
        <f t="shared" si="0"/>
        <v>0</v>
      </c>
      <c r="I28" s="247">
        <f t="shared" si="1"/>
        <v>400</v>
      </c>
    </row>
    <row r="29" spans="1:9" x14ac:dyDescent="0.3">
      <c r="A29" s="246" t="s">
        <v>90</v>
      </c>
      <c r="B29" s="459" t="s">
        <v>25</v>
      </c>
      <c r="C29" s="167">
        <v>3</v>
      </c>
      <c r="D29" s="434">
        <f>C29*'Costos MP'!C35</f>
        <v>2215.9499999999998</v>
      </c>
      <c r="E29" s="243">
        <v>4</v>
      </c>
      <c r="F29" s="244">
        <f>Producto!B35*'Plan de Producción'!$L$6+Producto!G35*'Plan de Producción'!$L$7+Producto!L35*'Plan de Producción'!$L$8+Producto!Q35*'Plan de Producción'!$L$9+Producto!V35*'Plan de Producción'!$L$10</f>
        <v>0</v>
      </c>
      <c r="G29" s="245">
        <v>0</v>
      </c>
      <c r="H29" s="244">
        <f t="shared" si="0"/>
        <v>0</v>
      </c>
      <c r="I29" s="247">
        <f t="shared" si="1"/>
        <v>3</v>
      </c>
    </row>
    <row r="30" spans="1:9" x14ac:dyDescent="0.3">
      <c r="A30" s="246" t="s">
        <v>92</v>
      </c>
      <c r="B30" s="459" t="s">
        <v>25</v>
      </c>
      <c r="C30" s="167">
        <v>3</v>
      </c>
      <c r="D30" s="434">
        <f>C30*'Costos MP'!C36</f>
        <v>9330.2633999999998</v>
      </c>
      <c r="E30" s="243">
        <v>4</v>
      </c>
      <c r="F30" s="244">
        <f>Producto!B36*'Plan de Producción'!$L$6+Producto!G36*'Plan de Producción'!$L$7+Producto!L36*'Plan de Producción'!$L$8+Producto!Q36*'Plan de Producción'!$L$9+Producto!V36*'Plan de Producción'!$L$10</f>
        <v>0</v>
      </c>
      <c r="G30" s="245">
        <v>0</v>
      </c>
      <c r="H30" s="244">
        <f t="shared" si="0"/>
        <v>0</v>
      </c>
      <c r="I30" s="247">
        <f t="shared" si="1"/>
        <v>3</v>
      </c>
    </row>
    <row r="31" spans="1:9" x14ac:dyDescent="0.3">
      <c r="A31" s="246" t="s">
        <v>96</v>
      </c>
      <c r="B31" s="459" t="s">
        <v>25</v>
      </c>
      <c r="C31" s="167">
        <v>50</v>
      </c>
      <c r="D31" s="434">
        <f>C31*'Costos MP'!C37</f>
        <v>924.29999999999984</v>
      </c>
      <c r="E31" s="243">
        <v>25</v>
      </c>
      <c r="F31" s="244">
        <f>Producto!B37*'Plan de Producción'!$L$6+Producto!G37*'Plan de Producción'!$L$7+Producto!L37*'Plan de Producción'!$L$8+Producto!Q37*'Plan de Producción'!$L$9+Producto!V37*'Plan de Producción'!$L$10</f>
        <v>0</v>
      </c>
      <c r="G31" s="245">
        <v>0</v>
      </c>
      <c r="H31" s="244">
        <f t="shared" si="0"/>
        <v>0</v>
      </c>
      <c r="I31" s="247">
        <f t="shared" si="1"/>
        <v>50</v>
      </c>
    </row>
    <row r="32" spans="1:9" x14ac:dyDescent="0.3">
      <c r="A32" s="246" t="s">
        <v>100</v>
      </c>
      <c r="B32" s="459" t="s">
        <v>25</v>
      </c>
      <c r="C32" s="167">
        <v>20</v>
      </c>
      <c r="D32" s="434">
        <f>C32*'Costos MP'!C38</f>
        <v>369.71999999999991</v>
      </c>
      <c r="E32" s="243">
        <v>25</v>
      </c>
      <c r="F32" s="244">
        <f>Producto!B38*'Plan de Producción'!$L$6+Producto!G38*'Plan de Producción'!$L$7+Producto!L38*'Plan de Producción'!$L$8+Producto!Q38*'Plan de Producción'!$L$9+Producto!V38*'Plan de Producción'!$L$10</f>
        <v>0</v>
      </c>
      <c r="G32" s="245">
        <v>0</v>
      </c>
      <c r="H32" s="244">
        <f t="shared" si="0"/>
        <v>0</v>
      </c>
      <c r="I32" s="247">
        <f t="shared" si="1"/>
        <v>20</v>
      </c>
    </row>
    <row r="33" spans="1:9" x14ac:dyDescent="0.3">
      <c r="A33" s="246" t="s">
        <v>104</v>
      </c>
      <c r="B33" s="459" t="s">
        <v>25</v>
      </c>
      <c r="C33" s="167">
        <v>50</v>
      </c>
      <c r="D33" s="434">
        <f>C33*'Costos MP'!C39</f>
        <v>2678.1</v>
      </c>
      <c r="E33" s="243">
        <v>25</v>
      </c>
      <c r="F33" s="244">
        <f>Producto!B39*'Plan de Producción'!$L$6+Producto!G39*'Plan de Producción'!$L$7+Producto!L39*'Plan de Producción'!$L$8+Producto!Q39*'Plan de Producción'!$L$9+Producto!V39*'Plan de Producción'!$L$10</f>
        <v>0</v>
      </c>
      <c r="G33" s="245">
        <v>0</v>
      </c>
      <c r="H33" s="244">
        <f t="shared" si="0"/>
        <v>0</v>
      </c>
      <c r="I33" s="247">
        <f t="shared" si="1"/>
        <v>50</v>
      </c>
    </row>
    <row r="34" spans="1:9" x14ac:dyDescent="0.3">
      <c r="A34" s="246" t="s">
        <v>106</v>
      </c>
      <c r="B34" s="459" t="s">
        <v>25</v>
      </c>
      <c r="C34" s="167">
        <v>100</v>
      </c>
      <c r="D34" s="434">
        <f>C34*'Costos MP'!C40</f>
        <v>4344.21</v>
      </c>
      <c r="E34" s="243">
        <v>30</v>
      </c>
      <c r="F34" s="244">
        <f>Producto!B40*'Plan de Producción'!$L$6+Producto!G40*'Plan de Producción'!$L$7+Producto!L40*'Plan de Producción'!$L$8+Producto!Q40*'Plan de Producción'!$L$9+Producto!V40*'Plan de Producción'!$L$10</f>
        <v>0</v>
      </c>
      <c r="G34" s="245">
        <v>0</v>
      </c>
      <c r="H34" s="244">
        <f t="shared" si="0"/>
        <v>0</v>
      </c>
      <c r="I34" s="247">
        <f t="shared" si="1"/>
        <v>100</v>
      </c>
    </row>
    <row r="35" spans="1:9" x14ac:dyDescent="0.3">
      <c r="A35" s="246" t="s">
        <v>110</v>
      </c>
      <c r="B35" s="459" t="s">
        <v>25</v>
      </c>
      <c r="C35" s="167">
        <v>100</v>
      </c>
      <c r="D35" s="434">
        <f>C35*'Costos MP'!C41</f>
        <v>2619.64</v>
      </c>
      <c r="E35" s="243">
        <v>20</v>
      </c>
      <c r="F35" s="244">
        <f>Producto!B41*'Plan de Producción'!$L$6+Producto!G41*'Plan de Producción'!$L$7+Producto!L41*'Plan de Producción'!$L$8+Producto!Q41*'Plan de Producción'!$L$9+Producto!V41*'Plan de Producción'!$L$10</f>
        <v>0</v>
      </c>
      <c r="G35" s="245">
        <v>0</v>
      </c>
      <c r="H35" s="244">
        <f t="shared" si="0"/>
        <v>0</v>
      </c>
      <c r="I35" s="247">
        <f t="shared" si="1"/>
        <v>100</v>
      </c>
    </row>
    <row r="36" spans="1:9" x14ac:dyDescent="0.3">
      <c r="A36" s="246" t="s">
        <v>111</v>
      </c>
      <c r="B36" s="459" t="s">
        <v>25</v>
      </c>
      <c r="C36" s="167">
        <v>50</v>
      </c>
      <c r="D36" s="434">
        <f>C36*'Costos MP'!C42</f>
        <v>4068.5</v>
      </c>
      <c r="E36" s="243">
        <v>5</v>
      </c>
      <c r="F36" s="244">
        <f>Producto!B42*'Plan de Producción'!$L$6+Producto!G42*'Plan de Producción'!$L$7+Producto!L42*'Plan de Producción'!$L$8+Producto!Q42*'Plan de Producción'!$L$9+Producto!V42*'Plan de Producción'!$L$10</f>
        <v>0</v>
      </c>
      <c r="G36" s="245">
        <v>0</v>
      </c>
      <c r="H36" s="244">
        <f t="shared" si="0"/>
        <v>0</v>
      </c>
      <c r="I36" s="247">
        <f t="shared" si="1"/>
        <v>50</v>
      </c>
    </row>
    <row r="37" spans="1:9" x14ac:dyDescent="0.3">
      <c r="A37" s="246" t="s">
        <v>112</v>
      </c>
      <c r="B37" s="459" t="s">
        <v>40</v>
      </c>
      <c r="C37" s="167">
        <v>100</v>
      </c>
      <c r="D37" s="434">
        <f>C37*'Costos MP'!C43</f>
        <v>1324.0400000000002</v>
      </c>
      <c r="E37" s="243">
        <v>50</v>
      </c>
      <c r="F37" s="244">
        <f>Producto!B43*'Plan de Producción'!$L$6+Producto!G43*'Plan de Producción'!$L$7+Producto!L43*'Plan de Producción'!$L$8+Producto!Q43*'Plan de Producción'!$L$9+Producto!V43*'Plan de Producción'!$L$10</f>
        <v>0</v>
      </c>
      <c r="G37" s="245">
        <v>0.05</v>
      </c>
      <c r="H37" s="244">
        <f t="shared" si="0"/>
        <v>0</v>
      </c>
      <c r="I37" s="247">
        <f t="shared" si="1"/>
        <v>100</v>
      </c>
    </row>
    <row r="38" spans="1:9" x14ac:dyDescent="0.3">
      <c r="A38" s="362" t="s">
        <v>350</v>
      </c>
      <c r="B38" s="459" t="s">
        <v>25</v>
      </c>
      <c r="C38" s="167">
        <v>50</v>
      </c>
      <c r="D38" s="434">
        <f>C38*'Costos MP'!C44</f>
        <v>12640</v>
      </c>
      <c r="E38" s="243">
        <v>25</v>
      </c>
      <c r="F38" s="244">
        <f>Producto!B44*'Plan de Producción'!$L$6+Producto!G44*'Plan de Producción'!$L$7+Producto!L44*'Plan de Producción'!$L$8+Producto!Q44*'Plan de Producción'!$L$9+Producto!V44*'Plan de Producción'!$L$10</f>
        <v>0</v>
      </c>
      <c r="G38" s="245">
        <v>0</v>
      </c>
      <c r="H38" s="244">
        <f t="shared" si="0"/>
        <v>0</v>
      </c>
      <c r="I38" s="247">
        <f t="shared" si="1"/>
        <v>50</v>
      </c>
    </row>
    <row r="39" spans="1:9" x14ac:dyDescent="0.3">
      <c r="A39" s="246" t="s">
        <v>117</v>
      </c>
      <c r="B39" s="459" t="s">
        <v>25</v>
      </c>
      <c r="C39" s="167">
        <v>3</v>
      </c>
      <c r="D39" s="434">
        <f>C39*'Costos MP'!C45</f>
        <v>1035.6663000000001</v>
      </c>
      <c r="E39" s="243">
        <v>2</v>
      </c>
      <c r="F39" s="244">
        <f>Producto!B45*'Plan de Producción'!$L$6+Producto!G45*'Plan de Producción'!$L$7+Producto!L45*'Plan de Producción'!$L$8+Producto!Q45*'Plan de Producción'!$L$9+Producto!V45*'Plan de Producción'!$L$10</f>
        <v>0</v>
      </c>
      <c r="G39" s="245">
        <v>0</v>
      </c>
      <c r="H39" s="244">
        <f t="shared" si="0"/>
        <v>0</v>
      </c>
      <c r="I39" s="247">
        <f t="shared" si="1"/>
        <v>3</v>
      </c>
    </row>
    <row r="40" spans="1:9" x14ac:dyDescent="0.3">
      <c r="A40" s="246" t="s">
        <v>119</v>
      </c>
      <c r="B40" s="459" t="s">
        <v>25</v>
      </c>
      <c r="C40" s="167">
        <v>15</v>
      </c>
      <c r="D40" s="434">
        <f>C40*'Costos MP'!C46</f>
        <v>8223.9</v>
      </c>
      <c r="E40" s="243">
        <v>8</v>
      </c>
      <c r="F40" s="244">
        <f>Producto!B46*'Plan de Producción'!$L$6+Producto!G46*'Plan de Producción'!$L$7+Producto!L46*'Plan de Producción'!$L$8+Producto!Q46*'Plan de Producción'!$L$9+Producto!V46*'Plan de Producción'!$L$10</f>
        <v>0</v>
      </c>
      <c r="G40" s="245">
        <v>0</v>
      </c>
      <c r="H40" s="244">
        <f t="shared" si="0"/>
        <v>0</v>
      </c>
      <c r="I40" s="247">
        <f t="shared" si="1"/>
        <v>15</v>
      </c>
    </row>
    <row r="41" spans="1:9" x14ac:dyDescent="0.3">
      <c r="A41" s="246" t="s">
        <v>120</v>
      </c>
      <c r="B41" s="459" t="s">
        <v>25</v>
      </c>
      <c r="C41" s="167">
        <v>6</v>
      </c>
      <c r="D41" s="434">
        <f>C41*'Costos MP'!C47</f>
        <v>4498.26</v>
      </c>
      <c r="E41" s="243">
        <v>2</v>
      </c>
      <c r="F41" s="244">
        <f>Producto!B47*'Plan de Producción'!$L$6+Producto!G47*'Plan de Producción'!$L$7+Producto!L47*'Plan de Producción'!$L$8+Producto!Q47*'Plan de Producción'!$L$9+Producto!V47*'Plan de Producción'!$L$10</f>
        <v>0</v>
      </c>
      <c r="G41" s="245">
        <v>0</v>
      </c>
      <c r="H41" s="244">
        <f t="shared" si="0"/>
        <v>0</v>
      </c>
      <c r="I41" s="247">
        <f t="shared" si="1"/>
        <v>6</v>
      </c>
    </row>
    <row r="42" spans="1:9" x14ac:dyDescent="0.3">
      <c r="A42" s="246" t="s">
        <v>123</v>
      </c>
      <c r="B42" s="459" t="s">
        <v>25</v>
      </c>
      <c r="C42" s="167">
        <v>3</v>
      </c>
      <c r="D42" s="434">
        <f>C42*'Costos MP'!C49</f>
        <v>37555.020000000004</v>
      </c>
      <c r="E42" s="243">
        <v>2</v>
      </c>
      <c r="F42" s="244">
        <f>Producto!B49*'Plan de Producción'!$L$6+Producto!G49*'Plan de Producción'!$L$7+Producto!L49*'Plan de Producción'!$L$8+Producto!Q49*'Plan de Producción'!$L$9+Producto!V49*'Plan de Producción'!$L$10</f>
        <v>0</v>
      </c>
      <c r="G42" s="245">
        <v>0</v>
      </c>
      <c r="H42" s="244">
        <f t="shared" si="0"/>
        <v>0</v>
      </c>
      <c r="I42" s="247">
        <f t="shared" si="1"/>
        <v>3</v>
      </c>
    </row>
    <row r="43" spans="1:9" x14ac:dyDescent="0.3">
      <c r="A43" s="246" t="s">
        <v>124</v>
      </c>
      <c r="B43" s="459" t="s">
        <v>25</v>
      </c>
      <c r="C43" s="167">
        <v>3</v>
      </c>
      <c r="D43" s="434">
        <f>C43*'Costos MP'!C50</f>
        <v>24102.9</v>
      </c>
      <c r="E43" s="243">
        <v>2</v>
      </c>
      <c r="F43" s="244">
        <f>Producto!B50*'Plan de Producción'!$L$6+Producto!G50*'Plan de Producción'!$L$7+Producto!L50*'Plan de Producción'!$L$8+Producto!Q50*'Plan de Producción'!$L$9+Producto!V50*'Plan de Producción'!$L$10</f>
        <v>0</v>
      </c>
      <c r="G43" s="245">
        <v>0</v>
      </c>
      <c r="H43" s="244">
        <f t="shared" si="0"/>
        <v>0</v>
      </c>
      <c r="I43" s="247">
        <f t="shared" si="1"/>
        <v>3</v>
      </c>
    </row>
    <row r="44" spans="1:9" x14ac:dyDescent="0.3">
      <c r="A44" s="362" t="s">
        <v>745</v>
      </c>
      <c r="B44" s="459" t="s">
        <v>25</v>
      </c>
      <c r="C44" s="167">
        <v>3</v>
      </c>
      <c r="D44" s="434">
        <f>C44*'Costos MP'!C51</f>
        <v>3095.2200000000003</v>
      </c>
      <c r="E44" s="243">
        <v>0</v>
      </c>
      <c r="F44" s="244">
        <f>Producto!B51*'Plan de Producción'!$L$6+Producto!G51*'Plan de Producción'!$L$7+Producto!L51*'Plan de Producción'!$L$8+Producto!Q51*'Plan de Producción'!$L$9+Producto!V51*'Plan de Producción'!$L$10</f>
        <v>0</v>
      </c>
      <c r="G44" s="245">
        <v>0</v>
      </c>
      <c r="H44" s="244">
        <f t="shared" si="0"/>
        <v>0</v>
      </c>
      <c r="I44" s="247">
        <f t="shared" si="1"/>
        <v>3</v>
      </c>
    </row>
    <row r="45" spans="1:9" x14ac:dyDescent="0.3">
      <c r="A45" s="246" t="s">
        <v>128</v>
      </c>
      <c r="B45" s="459" t="s">
        <v>25</v>
      </c>
      <c r="C45" s="167">
        <v>6</v>
      </c>
      <c r="D45" s="434">
        <f>C45*'Costos MP'!C52</f>
        <v>33132.600000000006</v>
      </c>
      <c r="E45" s="243">
        <v>5</v>
      </c>
      <c r="F45" s="244">
        <f>Producto!B52*'Plan de Producción'!$L$6+Producto!G52*'Plan de Producción'!$L$7+Producto!L52*'Plan de Producción'!$L$8+Producto!Q52*'Plan de Producción'!$L$9+Producto!V52*'Plan de Producción'!$L$10</f>
        <v>0</v>
      </c>
      <c r="G45" s="245">
        <v>0</v>
      </c>
      <c r="H45" s="244">
        <f t="shared" si="0"/>
        <v>0</v>
      </c>
      <c r="I45" s="247">
        <f t="shared" si="1"/>
        <v>6</v>
      </c>
    </row>
    <row r="46" spans="1:9" x14ac:dyDescent="0.3">
      <c r="A46" s="246" t="s">
        <v>129</v>
      </c>
      <c r="B46" s="459" t="s">
        <v>25</v>
      </c>
      <c r="C46" s="167">
        <v>4</v>
      </c>
      <c r="D46" s="434">
        <f>C46*'Costos MP'!C53</f>
        <v>27144.400000000001</v>
      </c>
      <c r="E46" s="243">
        <v>2</v>
      </c>
      <c r="F46" s="244">
        <f>Producto!B53*'Plan de Producción'!$L$6+Producto!G53*'Plan de Producción'!$L$7+Producto!L53*'Plan de Producción'!$L$8+Producto!Q53*'Plan de Producción'!$L$9+Producto!V53*'Plan de Producción'!$L$10</f>
        <v>0</v>
      </c>
      <c r="G46" s="245">
        <v>0</v>
      </c>
      <c r="H46" s="244">
        <f t="shared" si="0"/>
        <v>0</v>
      </c>
      <c r="I46" s="247">
        <f t="shared" si="1"/>
        <v>4</v>
      </c>
    </row>
    <row r="47" spans="1:9" x14ac:dyDescent="0.3">
      <c r="A47" s="246" t="s">
        <v>130</v>
      </c>
      <c r="B47" s="459" t="s">
        <v>25</v>
      </c>
      <c r="C47" s="167">
        <v>10</v>
      </c>
      <c r="D47" s="434">
        <f>C47*'Costos MP'!C54</f>
        <v>66676</v>
      </c>
      <c r="E47" s="243">
        <v>5</v>
      </c>
      <c r="F47" s="244">
        <f>Producto!B54*'Plan de Producción'!$L$6+Producto!G54*'Plan de Producción'!$L$7+Producto!L54*'Plan de Producción'!$L$8+Producto!Q54*'Plan de Producción'!$L$9+Producto!V54*'Plan de Producción'!$L$10</f>
        <v>0</v>
      </c>
      <c r="G47" s="245">
        <v>0</v>
      </c>
      <c r="H47" s="244">
        <f t="shared" si="0"/>
        <v>0</v>
      </c>
      <c r="I47" s="247">
        <f t="shared" si="1"/>
        <v>10</v>
      </c>
    </row>
    <row r="48" spans="1:9" x14ac:dyDescent="0.3">
      <c r="A48" s="362" t="s">
        <v>746</v>
      </c>
      <c r="B48" s="459" t="s">
        <v>25</v>
      </c>
      <c r="C48" s="167">
        <v>10</v>
      </c>
      <c r="D48" s="434">
        <f>C48*'Costos MP'!C55</f>
        <v>8081.7000000000007</v>
      </c>
      <c r="E48" s="243">
        <v>0</v>
      </c>
      <c r="F48" s="244">
        <f>Producto!B55*'Plan de Producción'!$L$6+Producto!G55*'Plan de Producción'!$L$7+Producto!L55*'Plan de Producción'!$L$8+Producto!Q55*'Plan de Producción'!$L$9+Producto!V55*'Plan de Producción'!$L$10</f>
        <v>0</v>
      </c>
      <c r="G48" s="245">
        <v>0</v>
      </c>
      <c r="H48" s="244">
        <f t="shared" si="0"/>
        <v>0</v>
      </c>
      <c r="I48" s="247">
        <f t="shared" si="1"/>
        <v>10</v>
      </c>
    </row>
    <row r="49" spans="1:9" x14ac:dyDescent="0.3">
      <c r="A49" s="246" t="s">
        <v>135</v>
      </c>
      <c r="B49" s="459" t="s">
        <v>25</v>
      </c>
      <c r="C49" s="167">
        <v>10</v>
      </c>
      <c r="D49" s="434">
        <f>C49*'Costos MP'!C56</f>
        <v>18715.099999999999</v>
      </c>
      <c r="E49" s="243">
        <v>4</v>
      </c>
      <c r="F49" s="244">
        <f>Producto!B56*'Plan de Producción'!$L$6+Producto!G56*'Plan de Producción'!$L$7+Producto!L56*'Plan de Producción'!$L$8+Producto!Q56*'Plan de Producción'!$L$9+Producto!V56*'Plan de Producción'!$L$10</f>
        <v>0</v>
      </c>
      <c r="G49" s="245">
        <v>0</v>
      </c>
      <c r="H49" s="244">
        <f t="shared" si="0"/>
        <v>0</v>
      </c>
      <c r="I49" s="247">
        <f t="shared" si="1"/>
        <v>10</v>
      </c>
    </row>
    <row r="50" spans="1:9" x14ac:dyDescent="0.3">
      <c r="A50" s="246" t="s">
        <v>139</v>
      </c>
      <c r="B50" s="459" t="s">
        <v>6</v>
      </c>
      <c r="C50" s="167">
        <v>120</v>
      </c>
      <c r="D50" s="434">
        <f>C50*'Costos MP'!C58</f>
        <v>38533.356</v>
      </c>
      <c r="E50" s="243">
        <v>75</v>
      </c>
      <c r="F50" s="244">
        <f>Producto!B58*'Plan de Producción'!$L$6+Producto!G58*'Plan de Producción'!$L$7+Producto!L58*'Plan de Producción'!$L$8+Producto!Q58*'Plan de Producción'!$L$9+Producto!V58*'Plan de Producción'!$L$10</f>
        <v>0</v>
      </c>
      <c r="G50" s="245">
        <v>0.05</v>
      </c>
      <c r="H50" s="244">
        <f t="shared" si="0"/>
        <v>0</v>
      </c>
      <c r="I50" s="247">
        <f t="shared" si="1"/>
        <v>120</v>
      </c>
    </row>
    <row r="51" spans="1:9" x14ac:dyDescent="0.3">
      <c r="A51" s="246" t="s">
        <v>140</v>
      </c>
      <c r="B51" s="459" t="s">
        <v>6</v>
      </c>
      <c r="C51" s="167">
        <v>100</v>
      </c>
      <c r="D51" s="434">
        <f>C51*'Costos MP'!C59</f>
        <v>67150</v>
      </c>
      <c r="E51" s="243">
        <v>60</v>
      </c>
      <c r="F51" s="244">
        <f>Producto!B59*'Plan de Producción'!$L$6+Producto!G59*'Plan de Producción'!$L$7+Producto!L59*'Plan de Producción'!$L$8+Producto!Q59*'Plan de Producción'!$L$9+Producto!V59*'Plan de Producción'!$L$10</f>
        <v>0</v>
      </c>
      <c r="G51" s="245">
        <v>0.05</v>
      </c>
      <c r="H51" s="244">
        <f t="shared" si="0"/>
        <v>0</v>
      </c>
      <c r="I51" s="247">
        <f t="shared" si="1"/>
        <v>100</v>
      </c>
    </row>
    <row r="52" spans="1:9" x14ac:dyDescent="0.3">
      <c r="A52" s="246" t="s">
        <v>145</v>
      </c>
      <c r="B52" s="459" t="s">
        <v>34</v>
      </c>
      <c r="C52" s="167">
        <v>16</v>
      </c>
      <c r="D52" s="434">
        <f>C52*'Costos MP'!C60</f>
        <v>5894.6640000000007</v>
      </c>
      <c r="E52" s="243">
        <v>8</v>
      </c>
      <c r="F52" s="244">
        <f>Producto!B60*'Plan de Producción'!$L$6+Producto!G60*'Plan de Producción'!$L$7+Producto!L60*'Plan de Producción'!$L$8+Producto!Q60*'Plan de Producción'!$L$9+Producto!V60*'Plan de Producción'!$L$10</f>
        <v>0</v>
      </c>
      <c r="G52" s="245">
        <v>0.1</v>
      </c>
      <c r="H52" s="244">
        <f t="shared" si="0"/>
        <v>0</v>
      </c>
      <c r="I52" s="247">
        <f t="shared" si="1"/>
        <v>16</v>
      </c>
    </row>
    <row r="53" spans="1:9" x14ac:dyDescent="0.3">
      <c r="A53" s="246" t="s">
        <v>150</v>
      </c>
      <c r="B53" s="459" t="s">
        <v>6</v>
      </c>
      <c r="C53" s="167">
        <v>10</v>
      </c>
      <c r="D53" s="434">
        <f>C53*'Costos MP'!C61</f>
        <v>4853.2070000000003</v>
      </c>
      <c r="E53" s="243">
        <f t="shared" ref="E53:E73" si="2">C53*0.05</f>
        <v>0.5</v>
      </c>
      <c r="F53" s="244">
        <f>Producto!B61*'Plan de Producción'!$L$6+Producto!G61*'Plan de Producción'!$L$7+Producto!L61*'Plan de Producción'!$L$8+Producto!Q61*'Plan de Producción'!$L$9+Producto!V61*'Plan de Producción'!$L$10</f>
        <v>0</v>
      </c>
      <c r="G53" s="245">
        <v>0.05</v>
      </c>
      <c r="H53" s="244">
        <f t="shared" si="0"/>
        <v>0</v>
      </c>
      <c r="I53" s="247">
        <f t="shared" si="1"/>
        <v>10</v>
      </c>
    </row>
    <row r="54" spans="1:9" x14ac:dyDescent="0.3">
      <c r="A54" s="246" t="s">
        <v>152</v>
      </c>
      <c r="B54" s="459" t="s">
        <v>40</v>
      </c>
      <c r="C54" s="167">
        <v>15</v>
      </c>
      <c r="D54" s="434">
        <f>C54*'Costos MP'!C62</f>
        <v>3415.17</v>
      </c>
      <c r="E54" s="243">
        <v>12</v>
      </c>
      <c r="F54" s="244">
        <f>Producto!B62*'Plan de Producción'!$L$6+Producto!G62*'Plan de Producción'!$L$7+Producto!L62*'Plan de Producción'!$L$8+Producto!Q62*'Plan de Producción'!$L$9+Producto!V62*'Plan de Producción'!$L$10</f>
        <v>0</v>
      </c>
      <c r="G54" s="245">
        <v>0.05</v>
      </c>
      <c r="H54" s="244">
        <f t="shared" si="0"/>
        <v>0</v>
      </c>
      <c r="I54" s="247">
        <f t="shared" si="1"/>
        <v>15</v>
      </c>
    </row>
    <row r="55" spans="1:9" x14ac:dyDescent="0.3">
      <c r="A55" s="246" t="s">
        <v>156</v>
      </c>
      <c r="B55" s="459" t="s">
        <v>25</v>
      </c>
      <c r="C55" s="167">
        <v>4</v>
      </c>
      <c r="D55" s="434">
        <f>C55*'Costos MP'!C64</f>
        <v>58147.16</v>
      </c>
      <c r="E55" s="243">
        <v>1</v>
      </c>
      <c r="F55" s="244">
        <f>Producto!B64*'Plan de Producción'!$L$6+Producto!G64*'Plan de Producción'!$L$7+Producto!L64*'Plan de Producción'!$L$8+Producto!Q64*'Plan de Producción'!$L$9+Producto!V64*'Plan de Producción'!$L$10</f>
        <v>0</v>
      </c>
      <c r="G55" s="245">
        <v>0</v>
      </c>
      <c r="H55" s="244">
        <f t="shared" si="0"/>
        <v>0</v>
      </c>
      <c r="I55" s="247">
        <f t="shared" si="1"/>
        <v>4</v>
      </c>
    </row>
    <row r="56" spans="1:9" x14ac:dyDescent="0.3">
      <c r="A56" s="246" t="s">
        <v>157</v>
      </c>
      <c r="B56" s="459" t="s">
        <v>25</v>
      </c>
      <c r="C56" s="167">
        <v>4</v>
      </c>
      <c r="D56" s="434">
        <f>C56*'Costos MP'!C65</f>
        <v>22688.799999999999</v>
      </c>
      <c r="E56" s="243">
        <v>1</v>
      </c>
      <c r="F56" s="244">
        <f>Producto!B65*'Plan de Producción'!$L$6+Producto!G65*'Plan de Producción'!$L$7+Producto!L65*'Plan de Producción'!$L$8+Producto!Q65*'Plan de Producción'!$L$9+Producto!V65*'Plan de Producción'!$L$10</f>
        <v>0</v>
      </c>
      <c r="G56" s="245">
        <v>0</v>
      </c>
      <c r="H56" s="244">
        <f t="shared" si="0"/>
        <v>0</v>
      </c>
      <c r="I56" s="247">
        <f t="shared" si="1"/>
        <v>4</v>
      </c>
    </row>
    <row r="57" spans="1:9" x14ac:dyDescent="0.3">
      <c r="A57" s="362" t="s">
        <v>579</v>
      </c>
      <c r="B57" s="459" t="s">
        <v>25</v>
      </c>
      <c r="C57" s="167">
        <v>4</v>
      </c>
      <c r="D57" s="434">
        <f>C57*'Costos MP'!C66</f>
        <v>22467.599999999999</v>
      </c>
      <c r="E57" s="243">
        <v>1</v>
      </c>
      <c r="F57" s="244">
        <f>Producto!B66*'Plan de Producción'!$L$6+Producto!G66*'Plan de Producción'!$L$7+Producto!L66*'Plan de Producción'!$L$8+Producto!Q66*'Plan de Producción'!$L$9+Producto!V66*'Plan de Producción'!$L$10</f>
        <v>0</v>
      </c>
      <c r="G57" s="245">
        <v>0</v>
      </c>
      <c r="H57" s="244">
        <f t="shared" si="0"/>
        <v>0</v>
      </c>
      <c r="I57" s="247">
        <f t="shared" si="1"/>
        <v>4</v>
      </c>
    </row>
    <row r="58" spans="1:9" x14ac:dyDescent="0.3">
      <c r="A58" s="362" t="s">
        <v>752</v>
      </c>
      <c r="B58" s="459" t="s">
        <v>25</v>
      </c>
      <c r="C58" s="167">
        <v>4</v>
      </c>
      <c r="D58" s="434">
        <f>C58*'Costos MP'!C67</f>
        <v>12055.4</v>
      </c>
      <c r="E58" s="243">
        <v>1</v>
      </c>
      <c r="F58" s="244">
        <f>Producto!B67*'Plan de Producción'!$L$6+Producto!G67*'Plan de Producción'!$L$7+Producto!L67*'Plan de Producción'!$L$8+Producto!Q67*'Plan de Producción'!$L$9+Producto!V67*'Plan de Producción'!$L$10</f>
        <v>0</v>
      </c>
      <c r="G58" s="245">
        <v>0</v>
      </c>
      <c r="H58" s="244">
        <f t="shared" si="0"/>
        <v>0</v>
      </c>
      <c r="I58" s="247">
        <f t="shared" si="1"/>
        <v>4</v>
      </c>
    </row>
    <row r="59" spans="1:9" x14ac:dyDescent="0.3">
      <c r="A59" s="246" t="s">
        <v>165</v>
      </c>
      <c r="B59" s="459" t="s">
        <v>25</v>
      </c>
      <c r="C59" s="167">
        <v>4</v>
      </c>
      <c r="D59" s="434">
        <f>C59*'Costos MP'!C68</f>
        <v>20400.96</v>
      </c>
      <c r="E59" s="243">
        <v>1</v>
      </c>
      <c r="F59" s="244">
        <f>Producto!B68*'Plan de Producción'!$L$6+Producto!G68*'Plan de Producción'!$L$7+Producto!L68*'Plan de Producción'!$L$8+Producto!Q68*'Plan de Producción'!$L$9+Producto!V68*'Plan de Producción'!$L$10</f>
        <v>0</v>
      </c>
      <c r="G59" s="245">
        <v>0</v>
      </c>
      <c r="H59" s="244">
        <f t="shared" si="0"/>
        <v>0</v>
      </c>
      <c r="I59" s="247">
        <f t="shared" si="1"/>
        <v>4</v>
      </c>
    </row>
    <row r="60" spans="1:9" x14ac:dyDescent="0.3">
      <c r="A60" s="362" t="s">
        <v>747</v>
      </c>
      <c r="B60" s="459" t="s">
        <v>25</v>
      </c>
      <c r="C60" s="167">
        <v>4</v>
      </c>
      <c r="D60" s="434">
        <f>C60*'Costos MP'!C69</f>
        <v>2682.84</v>
      </c>
      <c r="E60" s="243">
        <v>1</v>
      </c>
      <c r="F60" s="244">
        <f>Producto!B69*'Plan de Producción'!$L$6+Producto!G69*'Plan de Producción'!$L$7+Producto!L69*'Plan de Producción'!$L$8+Producto!Q69*'Plan de Producción'!$L$9+Producto!V69*'Plan de Producción'!$L$10</f>
        <v>0</v>
      </c>
      <c r="G60" s="245">
        <v>0</v>
      </c>
      <c r="H60" s="244">
        <f t="shared" si="0"/>
        <v>0</v>
      </c>
      <c r="I60" s="247">
        <f t="shared" si="1"/>
        <v>4</v>
      </c>
    </row>
    <row r="61" spans="1:9" x14ac:dyDescent="0.3">
      <c r="A61" s="246" t="s">
        <v>169</v>
      </c>
      <c r="B61" s="459" t="s">
        <v>25</v>
      </c>
      <c r="C61" s="167">
        <v>4</v>
      </c>
      <c r="D61" s="434">
        <f>C61*'Costos MP'!C70</f>
        <v>62400.520000000004</v>
      </c>
      <c r="E61" s="243">
        <v>1</v>
      </c>
      <c r="F61" s="244">
        <f>Producto!B70*'Plan de Producción'!$L$6+Producto!G70*'Plan de Producción'!$L$7+Producto!L70*'Plan de Producción'!$L$8+Producto!Q70*'Plan de Producción'!$L$9+Producto!V70*'Plan de Producción'!$L$10</f>
        <v>0</v>
      </c>
      <c r="G61" s="245">
        <v>0</v>
      </c>
      <c r="H61" s="244">
        <f t="shared" si="0"/>
        <v>0</v>
      </c>
      <c r="I61" s="247">
        <f t="shared" si="1"/>
        <v>4</v>
      </c>
    </row>
    <row r="62" spans="1:9" x14ac:dyDescent="0.3">
      <c r="A62" s="246" t="s">
        <v>172</v>
      </c>
      <c r="B62" s="459" t="s">
        <v>25</v>
      </c>
      <c r="C62" s="167">
        <v>10</v>
      </c>
      <c r="D62" s="434">
        <f>C62*'Costos MP'!C71</f>
        <v>5683.26</v>
      </c>
      <c r="E62" s="243">
        <v>3</v>
      </c>
      <c r="F62" s="244">
        <f>Producto!B71*'Plan de Producción'!$L$6+Producto!G71*'Plan de Producción'!$L$7+Producto!L71*'Plan de Producción'!$L$8+Producto!Q71*'Plan de Producción'!$L$9+Producto!V71*'Plan de Producción'!$L$10</f>
        <v>0</v>
      </c>
      <c r="G62" s="245">
        <v>0</v>
      </c>
      <c r="H62" s="244">
        <f t="shared" si="0"/>
        <v>0</v>
      </c>
      <c r="I62" s="247">
        <f t="shared" si="1"/>
        <v>10</v>
      </c>
    </row>
    <row r="63" spans="1:9" x14ac:dyDescent="0.3">
      <c r="A63" s="362" t="s">
        <v>751</v>
      </c>
      <c r="B63" s="460" t="s">
        <v>25</v>
      </c>
      <c r="C63" s="167">
        <v>3</v>
      </c>
      <c r="D63" s="434">
        <f>C63*'Costos MP'!C72</f>
        <v>9747.0858109499986</v>
      </c>
      <c r="E63" s="243">
        <v>0</v>
      </c>
      <c r="F63" s="244">
        <f>Producto!B72*'Plan de Producción'!$L$6+Producto!G72*'Plan de Producción'!$L$7+Producto!L72*'Plan de Producción'!$L$8+Producto!Q72*'Plan de Producción'!$L$9+Producto!V72*'Plan de Producción'!$L$10</f>
        <v>0</v>
      </c>
      <c r="G63" s="245">
        <v>0</v>
      </c>
      <c r="H63" s="244">
        <f t="shared" si="0"/>
        <v>0</v>
      </c>
      <c r="I63" s="247">
        <f t="shared" si="1"/>
        <v>3</v>
      </c>
    </row>
    <row r="64" spans="1:9" x14ac:dyDescent="0.3">
      <c r="A64" s="246" t="s">
        <v>174</v>
      </c>
      <c r="B64" s="459" t="s">
        <v>25</v>
      </c>
      <c r="C64" s="167">
        <v>4</v>
      </c>
      <c r="D64" s="434">
        <f>C64*'Costos MP'!C73</f>
        <v>6000.84</v>
      </c>
      <c r="E64" s="243">
        <v>2</v>
      </c>
      <c r="F64" s="244">
        <f>Producto!B73*'Plan de Producción'!$L$6+Producto!G73*'Plan de Producción'!$L$7+Producto!L73*'Plan de Producción'!$L$8+Producto!Q73*'Plan de Producción'!$L$9+Producto!V73*'Plan de Producción'!$L$10</f>
        <v>0</v>
      </c>
      <c r="G64" s="245">
        <v>0</v>
      </c>
      <c r="H64" s="244">
        <f t="shared" si="0"/>
        <v>0</v>
      </c>
      <c r="I64" s="247">
        <f t="shared" si="1"/>
        <v>4</v>
      </c>
    </row>
    <row r="65" spans="1:11" x14ac:dyDescent="0.3">
      <c r="A65" s="246" t="s">
        <v>176</v>
      </c>
      <c r="B65" s="459" t="s">
        <v>25</v>
      </c>
      <c r="C65" s="167">
        <v>2</v>
      </c>
      <c r="D65" s="434">
        <f>C65*'Costos MP'!C75</f>
        <v>23495.156333799994</v>
      </c>
      <c r="E65" s="243">
        <v>0</v>
      </c>
      <c r="F65" s="244">
        <f>Producto!B75*'Plan de Producción'!$L$6+Producto!G75*'Plan de Producción'!$L$7+Producto!L75*'Plan de Producción'!$L$8+Producto!Q75*'Plan de Producción'!$L$9+Producto!V75*'Plan de Producción'!$L$10</f>
        <v>0</v>
      </c>
      <c r="G65" s="245">
        <v>0</v>
      </c>
      <c r="H65" s="244">
        <f t="shared" si="0"/>
        <v>0</v>
      </c>
      <c r="I65" s="247">
        <f t="shared" si="1"/>
        <v>2</v>
      </c>
    </row>
    <row r="66" spans="1:11" x14ac:dyDescent="0.3">
      <c r="A66" s="246" t="s">
        <v>177</v>
      </c>
      <c r="B66" s="459" t="s">
        <v>25</v>
      </c>
      <c r="C66" s="167">
        <v>2</v>
      </c>
      <c r="D66" s="434">
        <f>C66*'Costos MP'!C76</f>
        <v>20888.975769199998</v>
      </c>
      <c r="E66" s="243">
        <v>0</v>
      </c>
      <c r="F66" s="244">
        <f>Producto!B76*'Plan de Producción'!$L$6+Producto!G76*'Plan de Producción'!$L$7+Producto!L76*'Plan de Producción'!$L$8+Producto!Q76*'Plan de Producción'!$L$9+Producto!V76*'Plan de Producción'!$L$10</f>
        <v>0</v>
      </c>
      <c r="G66" s="245">
        <v>0</v>
      </c>
      <c r="H66" s="244">
        <f t="shared" si="0"/>
        <v>0</v>
      </c>
      <c r="I66" s="247">
        <f t="shared" si="1"/>
        <v>2</v>
      </c>
    </row>
    <row r="67" spans="1:11" x14ac:dyDescent="0.3">
      <c r="A67" s="246" t="s">
        <v>179</v>
      </c>
      <c r="B67" s="459" t="s">
        <v>25</v>
      </c>
      <c r="C67" s="167">
        <v>3</v>
      </c>
      <c r="D67" s="434">
        <f>C67*'Costos MP'!C77</f>
        <v>9965.8499999999985</v>
      </c>
      <c r="E67" s="243">
        <v>1</v>
      </c>
      <c r="F67" s="244">
        <f>Producto!B77*'Plan de Producción'!$L$6+Producto!G77*'Plan de Producción'!$L$7+Producto!L77*'Plan de Producción'!$L$8+Producto!Q77*'Plan de Producción'!$L$9+Producto!V77*'Plan de Producción'!$L$10</f>
        <v>0</v>
      </c>
      <c r="G67" s="245">
        <v>0</v>
      </c>
      <c r="H67" s="244">
        <f t="shared" si="0"/>
        <v>0</v>
      </c>
      <c r="I67" s="247">
        <f t="shared" si="1"/>
        <v>3</v>
      </c>
    </row>
    <row r="68" spans="1:11" x14ac:dyDescent="0.3">
      <c r="A68" s="246" t="s">
        <v>180</v>
      </c>
      <c r="B68" s="459" t="s">
        <v>25</v>
      </c>
      <c r="C68" s="167">
        <v>3</v>
      </c>
      <c r="D68" s="434">
        <f>C68*'Costos MP'!C78</f>
        <v>42961.464000000007</v>
      </c>
      <c r="E68" s="243">
        <v>1</v>
      </c>
      <c r="F68" s="244">
        <f>Producto!B78*'Plan de Producción'!$L$6+Producto!G78*'Plan de Producción'!$L$7+Producto!L78*'Plan de Producción'!$L$8+Producto!Q78*'Plan de Producción'!$L$9+Producto!V78*'Plan de Producción'!$L$10</f>
        <v>0</v>
      </c>
      <c r="G68" s="245">
        <v>0</v>
      </c>
      <c r="H68" s="244">
        <f t="shared" si="0"/>
        <v>0</v>
      </c>
      <c r="I68" s="247">
        <f t="shared" si="1"/>
        <v>3</v>
      </c>
    </row>
    <row r="69" spans="1:11" x14ac:dyDescent="0.3">
      <c r="A69" s="362" t="s">
        <v>581</v>
      </c>
      <c r="B69" s="460" t="s">
        <v>25</v>
      </c>
      <c r="C69" s="167">
        <v>2</v>
      </c>
      <c r="D69" s="434">
        <f>C69*'Costos MP'!C79</f>
        <v>9455.4533727999988</v>
      </c>
      <c r="E69" s="243">
        <v>0</v>
      </c>
      <c r="F69" s="244">
        <f>Producto!B79*'Plan de Producción'!$L$6+Producto!G79*'Plan de Producción'!$L$7+Producto!L79*'Plan de Producción'!$L$8+Producto!Q79*'Plan de Producción'!$L$9+Producto!V79*'Plan de Producción'!$L$10</f>
        <v>0</v>
      </c>
      <c r="G69" s="245">
        <v>0</v>
      </c>
      <c r="H69" s="244">
        <f t="shared" si="0"/>
        <v>0</v>
      </c>
      <c r="I69" s="247">
        <f t="shared" si="1"/>
        <v>2</v>
      </c>
    </row>
    <row r="70" spans="1:11" x14ac:dyDescent="0.3">
      <c r="A70" s="362" t="s">
        <v>753</v>
      </c>
      <c r="B70" s="459" t="s">
        <v>25</v>
      </c>
      <c r="C70" s="167">
        <v>3</v>
      </c>
      <c r="D70" s="434">
        <f>C70*'Costos MP'!C80</f>
        <v>9041.5499999999993</v>
      </c>
      <c r="E70" s="243">
        <v>1</v>
      </c>
      <c r="F70" s="244">
        <f>Producto!B80*'Plan de Producción'!$L$6+Producto!G80*'Plan de Producción'!$L$7+Producto!L80*'Plan de Producción'!$L$8+Producto!Q80*'Plan de Producción'!$L$9+Producto!V80*'Plan de Producción'!$L$10</f>
        <v>0</v>
      </c>
      <c r="G70" s="245">
        <v>0</v>
      </c>
      <c r="H70" s="244">
        <f t="shared" si="0"/>
        <v>0</v>
      </c>
      <c r="I70" s="247">
        <f t="shared" si="1"/>
        <v>3</v>
      </c>
    </row>
    <row r="71" spans="1:11" x14ac:dyDescent="0.3">
      <c r="A71" s="246" t="s">
        <v>182</v>
      </c>
      <c r="B71" s="459" t="s">
        <v>25</v>
      </c>
      <c r="C71" s="167">
        <v>2</v>
      </c>
      <c r="D71" s="434">
        <f>C71*'Costos MP'!C81</f>
        <v>743.01080000000002</v>
      </c>
      <c r="E71" s="243">
        <v>1</v>
      </c>
      <c r="F71" s="244">
        <f>Producto!B81*'Plan de Producción'!$L$6+Producto!G81*'Plan de Producción'!$L$7+Producto!L81*'Plan de Producción'!$L$8+Producto!Q81*'Plan de Producción'!$L$9+Producto!V81*'Plan de Producción'!$L$10</f>
        <v>0</v>
      </c>
      <c r="G71" s="245">
        <v>0</v>
      </c>
      <c r="H71" s="244">
        <f t="shared" si="0"/>
        <v>0</v>
      </c>
      <c r="I71" s="247">
        <f t="shared" si="1"/>
        <v>2</v>
      </c>
    </row>
    <row r="72" spans="1:11" x14ac:dyDescent="0.3">
      <c r="A72" s="362" t="s">
        <v>583</v>
      </c>
      <c r="B72" s="460" t="s">
        <v>25</v>
      </c>
      <c r="C72" s="167">
        <v>2</v>
      </c>
      <c r="D72" s="434">
        <f>C72*'Costos MP'!C83</f>
        <v>10419.6335208</v>
      </c>
      <c r="E72" s="243">
        <v>0</v>
      </c>
      <c r="F72" s="244">
        <f>Producto!B83*'Plan de Producción'!$L$6+Producto!G83*'Plan de Producción'!$L$7+Producto!L83*'Plan de Producción'!$L$8+Producto!Q83*'Plan de Producción'!$L$9+Producto!V83*'Plan de Producción'!$L$10</f>
        <v>0</v>
      </c>
      <c r="G72" s="245">
        <v>0</v>
      </c>
      <c r="H72" s="244">
        <f t="shared" si="0"/>
        <v>0</v>
      </c>
      <c r="I72" s="247">
        <f t="shared" si="1"/>
        <v>2</v>
      </c>
    </row>
    <row r="73" spans="1:11" x14ac:dyDescent="0.3">
      <c r="A73" s="362" t="s">
        <v>584</v>
      </c>
      <c r="B73" s="460" t="s">
        <v>25</v>
      </c>
      <c r="C73" s="167">
        <v>1</v>
      </c>
      <c r="D73" s="434">
        <f>C73*'Costos MP'!C84</f>
        <v>25582.982747350001</v>
      </c>
      <c r="E73" s="243">
        <f t="shared" si="2"/>
        <v>0.05</v>
      </c>
      <c r="F73" s="244">
        <f>Producto!B84*'Plan de Producción'!$L$6+Producto!G84*'Plan de Producción'!$L$7+Producto!L84*'Plan de Producción'!$L$8+Producto!Q84*'Plan de Producción'!$L$9+Producto!V84*'Plan de Producción'!$L$10</f>
        <v>0</v>
      </c>
      <c r="G73" s="245">
        <v>0</v>
      </c>
      <c r="H73" s="244">
        <f t="shared" si="0"/>
        <v>0</v>
      </c>
      <c r="I73" s="247">
        <f t="shared" si="1"/>
        <v>1</v>
      </c>
    </row>
    <row r="74" spans="1:11" x14ac:dyDescent="0.3">
      <c r="A74" s="362" t="s">
        <v>749</v>
      </c>
      <c r="B74" s="460" t="s">
        <v>25</v>
      </c>
      <c r="C74" s="167">
        <v>2</v>
      </c>
      <c r="D74" s="434">
        <f>C74*'Costos MP'!C85</f>
        <v>20288.215260599998</v>
      </c>
      <c r="E74" s="243">
        <v>0</v>
      </c>
      <c r="F74" s="244">
        <f>Producto!B85*'Plan de Producción'!$L$6+Producto!G85*'Plan de Producción'!$L$7+Producto!L85*'Plan de Producción'!$L$8+Producto!Q85*'Plan de Producción'!$L$9+Producto!V85*'Plan de Producción'!$L$10</f>
        <v>0</v>
      </c>
      <c r="G74" s="245">
        <v>0</v>
      </c>
      <c r="H74" s="244">
        <f t="shared" si="0"/>
        <v>0</v>
      </c>
      <c r="I74" s="247">
        <f t="shared" si="1"/>
        <v>2</v>
      </c>
      <c r="K74" s="435"/>
    </row>
    <row r="75" spans="1:11" x14ac:dyDescent="0.3">
      <c r="A75" s="362" t="s">
        <v>586</v>
      </c>
      <c r="B75" s="460" t="s">
        <v>25</v>
      </c>
      <c r="C75" s="167">
        <v>4</v>
      </c>
      <c r="D75" s="434">
        <f>C75*'Costos MP'!C86</f>
        <v>4735.7217234</v>
      </c>
      <c r="E75" s="243">
        <v>0</v>
      </c>
      <c r="F75" s="244">
        <f>Producto!B86*'Plan de Producción'!$L$6+Producto!G86*'Plan de Producción'!$L$7+Producto!L86*'Plan de Producción'!$L$8+Producto!Q86*'Plan de Producción'!$L$9+Producto!V86*'Plan de Producción'!$L$10</f>
        <v>0</v>
      </c>
      <c r="G75" s="245">
        <v>0</v>
      </c>
      <c r="H75" s="244">
        <f t="shared" si="0"/>
        <v>0</v>
      </c>
      <c r="I75" s="247">
        <f t="shared" si="1"/>
        <v>4</v>
      </c>
    </row>
    <row r="76" spans="1:11" x14ac:dyDescent="0.3">
      <c r="A76" s="246" t="s">
        <v>185</v>
      </c>
      <c r="B76" s="459" t="s">
        <v>40</v>
      </c>
      <c r="C76" s="167">
        <v>24</v>
      </c>
      <c r="D76" s="434">
        <f>C76*'Costos MP'!C88</f>
        <v>2034.7871999999998</v>
      </c>
      <c r="E76" s="243">
        <v>20</v>
      </c>
      <c r="F76" s="244">
        <f>Producto!B88*'Plan de Producción'!$L$6+Producto!G88*'Plan de Producción'!$L$7+Producto!L88*'Plan de Producción'!$L$8+Producto!Q88*'Plan de Producción'!$L$9+Producto!V88*'Plan de Producción'!$L$10</f>
        <v>0</v>
      </c>
      <c r="G76" s="245">
        <v>0.05</v>
      </c>
      <c r="H76" s="244">
        <f t="shared" si="0"/>
        <v>0</v>
      </c>
      <c r="I76" s="247">
        <f t="shared" si="1"/>
        <v>24</v>
      </c>
    </row>
    <row r="77" spans="1:11" x14ac:dyDescent="0.3">
      <c r="A77" s="246" t="s">
        <v>186</v>
      </c>
      <c r="B77" s="459" t="s">
        <v>40</v>
      </c>
      <c r="C77" s="167">
        <v>12</v>
      </c>
      <c r="D77" s="434">
        <f>C77*'Costos MP'!C89</f>
        <v>1632.9299999999998</v>
      </c>
      <c r="E77" s="243">
        <v>4</v>
      </c>
      <c r="F77" s="244">
        <f>Producto!B89*'Plan de Producción'!$L$6+Producto!G89*'Plan de Producción'!$L$7+Producto!L89*'Plan de Producción'!$L$8+Producto!Q89*'Plan de Producción'!$L$9+Producto!V89*'Plan de Producción'!$L$10</f>
        <v>0</v>
      </c>
      <c r="G77" s="245">
        <v>0.05</v>
      </c>
      <c r="H77" s="244">
        <f t="shared" si="0"/>
        <v>0</v>
      </c>
      <c r="I77" s="247">
        <f t="shared" si="1"/>
        <v>12</v>
      </c>
    </row>
    <row r="78" spans="1:11" x14ac:dyDescent="0.3">
      <c r="A78" s="246" t="s">
        <v>188</v>
      </c>
      <c r="B78" s="459" t="s">
        <v>25</v>
      </c>
      <c r="C78" s="167">
        <v>2</v>
      </c>
      <c r="D78" s="434">
        <f>C78*'Costos MP'!C91</f>
        <v>74258.42</v>
      </c>
      <c r="E78" s="243">
        <v>0</v>
      </c>
      <c r="F78" s="244">
        <f>Producto!B91*'Plan de Producción'!$L$6+Producto!G91*'Plan de Producción'!$L$7+Producto!L91*'Plan de Producción'!$L$8+Producto!Q91*'Plan de Producción'!$L$9+Producto!V91*'Plan de Producción'!$L$10</f>
        <v>0</v>
      </c>
      <c r="G78" s="245">
        <v>0</v>
      </c>
      <c r="H78" s="244">
        <f t="shared" ref="H78:H86" si="3">F78+F78*G78</f>
        <v>0</v>
      </c>
      <c r="I78" s="247">
        <f t="shared" ref="I78:I86" si="4">C78-H78</f>
        <v>2</v>
      </c>
    </row>
    <row r="79" spans="1:11" x14ac:dyDescent="0.3">
      <c r="A79" s="246" t="s">
        <v>190</v>
      </c>
      <c r="B79" s="459" t="s">
        <v>25</v>
      </c>
      <c r="C79" s="167">
        <v>1</v>
      </c>
      <c r="D79" s="434">
        <f>C79*'Costos MP'!C93</f>
        <v>36469.56</v>
      </c>
      <c r="E79" s="243">
        <v>0</v>
      </c>
      <c r="F79" s="244">
        <f>Producto!B93*'Plan de Producción'!$L$6+Producto!G93*'Plan de Producción'!$L$7+Producto!L93*'Plan de Producción'!$L$8+Producto!Q93*'Plan de Producción'!$L$9+Producto!V93*'Plan de Producción'!$L$10</f>
        <v>0</v>
      </c>
      <c r="G79" s="245">
        <v>0</v>
      </c>
      <c r="H79" s="244">
        <f t="shared" si="3"/>
        <v>0</v>
      </c>
      <c r="I79" s="247">
        <f t="shared" si="4"/>
        <v>1</v>
      </c>
    </row>
    <row r="80" spans="1:11" x14ac:dyDescent="0.3">
      <c r="A80" s="246" t="s">
        <v>191</v>
      </c>
      <c r="B80" s="459" t="s">
        <v>25</v>
      </c>
      <c r="C80" s="167">
        <v>1</v>
      </c>
      <c r="D80" s="434">
        <f>C80*'Costos MP'!C94</f>
        <v>34955.3433</v>
      </c>
      <c r="E80" s="243">
        <v>0</v>
      </c>
      <c r="F80" s="244">
        <f>Producto!B94*'Plan de Producción'!$L$6+Producto!G94*'Plan de Producción'!$L$7+Producto!L94*'Plan de Producción'!$L$8+Producto!Q94*'Plan de Producción'!$L$9+Producto!V95*'Plan de Producción'!$L$10</f>
        <v>0</v>
      </c>
      <c r="G80" s="245">
        <v>0</v>
      </c>
      <c r="H80" s="244">
        <f t="shared" si="3"/>
        <v>0</v>
      </c>
      <c r="I80" s="247">
        <f t="shared" si="4"/>
        <v>1</v>
      </c>
    </row>
    <row r="81" spans="1:9" x14ac:dyDescent="0.3">
      <c r="A81" s="246" t="s">
        <v>195</v>
      </c>
      <c r="B81" s="459" t="s">
        <v>25</v>
      </c>
      <c r="C81" s="167">
        <v>1</v>
      </c>
      <c r="D81" s="434">
        <f>C81*'Costos MP'!C96</f>
        <v>30730.21</v>
      </c>
      <c r="E81" s="243">
        <v>0</v>
      </c>
      <c r="F81" s="244">
        <f>Producto!B96*'Plan de Producción'!$L$6+Producto!G96*'Plan de Producción'!$L$7+Producto!L96*'Plan de Producción'!$L$8+Producto!Q96*'Plan de Producción'!$L$9+Producto!V97*'Plan de Producción'!$L$10</f>
        <v>0</v>
      </c>
      <c r="G81" s="245">
        <v>0</v>
      </c>
      <c r="H81" s="244">
        <f t="shared" si="3"/>
        <v>0</v>
      </c>
      <c r="I81" s="247">
        <f t="shared" si="4"/>
        <v>1</v>
      </c>
    </row>
    <row r="82" spans="1:9" x14ac:dyDescent="0.3">
      <c r="A82" s="246" t="s">
        <v>197</v>
      </c>
      <c r="B82" s="459" t="s">
        <v>25</v>
      </c>
      <c r="C82" s="167">
        <v>1</v>
      </c>
      <c r="D82" s="434">
        <f>C82*'Costos MP'!C97</f>
        <v>31521</v>
      </c>
      <c r="E82" s="243">
        <v>0</v>
      </c>
      <c r="F82" s="244">
        <f>Producto!B97*'Plan de Producción'!$L$6+Producto!G97*'Plan de Producción'!$L$7+Producto!L97*'Plan de Producción'!$L$8+Producto!Q97*'Plan de Producción'!$L$9+Producto!V98*'Plan de Producción'!$L$10</f>
        <v>0</v>
      </c>
      <c r="G82" s="245">
        <v>0</v>
      </c>
      <c r="H82" s="244">
        <f t="shared" si="3"/>
        <v>0</v>
      </c>
      <c r="I82" s="247">
        <f t="shared" si="4"/>
        <v>1</v>
      </c>
    </row>
    <row r="83" spans="1:9" x14ac:dyDescent="0.3">
      <c r="A83" s="246" t="s">
        <v>200</v>
      </c>
      <c r="B83" s="459" t="s">
        <v>25</v>
      </c>
      <c r="C83" s="167">
        <v>1</v>
      </c>
      <c r="D83" s="434">
        <f>C83*'Costos MP'!C98</f>
        <v>21803.21</v>
      </c>
      <c r="E83" s="243">
        <v>0</v>
      </c>
      <c r="F83" s="244">
        <f>Producto!B98*'Plan de Producción'!$L$6+Producto!G98*'Plan de Producción'!$L$7+Producto!L98*'Plan de Producción'!$L$8+Producto!Q98*'Plan de Producción'!$L$9+Producto!V99*'Plan de Producción'!$L$10</f>
        <v>0</v>
      </c>
      <c r="G83" s="245">
        <v>0</v>
      </c>
      <c r="H83" s="244">
        <f t="shared" si="3"/>
        <v>0</v>
      </c>
      <c r="I83" s="247">
        <f t="shared" si="4"/>
        <v>1</v>
      </c>
    </row>
    <row r="84" spans="1:9" x14ac:dyDescent="0.3">
      <c r="A84" s="246" t="s">
        <v>203</v>
      </c>
      <c r="B84" s="459" t="s">
        <v>25</v>
      </c>
      <c r="C84" s="167">
        <v>1</v>
      </c>
      <c r="D84" s="434">
        <f>C84*'Costos MP'!C99</f>
        <v>16589.21</v>
      </c>
      <c r="E84" s="243">
        <v>0</v>
      </c>
      <c r="F84" s="244">
        <f>Producto!B99*'Plan de Producción'!$L$6+Producto!G99*'Plan de Producción'!$L$7+Producto!L99*'Plan de Producción'!$L$8+Producto!Q99*'Plan de Producción'!$L$9+Producto!V100*'Plan de Producción'!$L$10</f>
        <v>0</v>
      </c>
      <c r="G84" s="245">
        <v>0</v>
      </c>
      <c r="H84" s="244">
        <f t="shared" si="3"/>
        <v>0</v>
      </c>
      <c r="I84" s="247">
        <f t="shared" si="4"/>
        <v>1</v>
      </c>
    </row>
    <row r="85" spans="1:9" x14ac:dyDescent="0.3">
      <c r="A85" s="246" t="s">
        <v>205</v>
      </c>
      <c r="B85" s="459" t="s">
        <v>25</v>
      </c>
      <c r="C85" s="167">
        <v>1</v>
      </c>
      <c r="D85" s="434">
        <f>C85*'Costos MP'!C100</f>
        <v>12478.84</v>
      </c>
      <c r="E85" s="243">
        <v>0</v>
      </c>
      <c r="F85" s="244">
        <f>Producto!B100*'Plan de Producción'!$L$6+Producto!G100*'Plan de Producción'!$L$7+Producto!L100*'Plan de Producción'!$L$8+Producto!Q100*'Plan de Producción'!$L$9+Producto!V101*'Plan de Producción'!$L$10</f>
        <v>0</v>
      </c>
      <c r="G85" s="245">
        <v>0</v>
      </c>
      <c r="H85" s="244">
        <f t="shared" si="3"/>
        <v>0</v>
      </c>
      <c r="I85" s="247">
        <f t="shared" si="4"/>
        <v>1</v>
      </c>
    </row>
    <row r="86" spans="1:9" ht="15" thickBot="1" x14ac:dyDescent="0.35">
      <c r="A86" s="248" t="s">
        <v>209</v>
      </c>
      <c r="B86" s="461" t="s">
        <v>25</v>
      </c>
      <c r="C86" s="249">
        <v>1</v>
      </c>
      <c r="D86" s="436">
        <f>C86*'Costos MP'!C101</f>
        <v>24647.21</v>
      </c>
      <c r="E86" s="250">
        <v>0</v>
      </c>
      <c r="F86" s="251">
        <f>Producto!B101*'Plan de Producción'!$L$6+Producto!G101*'Plan de Producción'!$L$7+Producto!L101*'Plan de Producción'!$L$8+Producto!Q101*'Plan de Producción'!$L$9+Producto!V102*'Plan de Producción'!$L$10</f>
        <v>0</v>
      </c>
      <c r="G86" s="252">
        <v>0</v>
      </c>
      <c r="H86" s="251">
        <f t="shared" si="3"/>
        <v>0</v>
      </c>
      <c r="I86" s="253">
        <f t="shared" si="4"/>
        <v>1</v>
      </c>
    </row>
    <row r="87" spans="1:9" ht="15" thickBot="1" x14ac:dyDescent="0.35">
      <c r="D87" s="437">
        <f>SUM(D2:D86)</f>
        <v>1457426.5063388997</v>
      </c>
    </row>
  </sheetData>
  <mergeCells count="2">
    <mergeCell ref="K5:L5"/>
    <mergeCell ref="K2:L3"/>
  </mergeCells>
  <conditionalFormatting sqref="I2:I86">
    <cfRule type="cellIs" dxfId="3" priority="4" operator="greaterThan">
      <formula>0</formula>
    </cfRule>
    <cfRule type="cellIs" dxfId="2" priority="5" operator="lessThan">
      <formula>0</formula>
    </cfRule>
  </conditionalFormatting>
  <conditionalFormatting sqref="J2:J86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C2">
    <cfRule type="cellIs" dxfId="1" priority="2" operator="lessThan">
      <formula>$E$2</formula>
    </cfRule>
  </conditionalFormatting>
  <conditionalFormatting sqref="C3">
    <cfRule type="cellIs" dxfId="0" priority="1" operator="lessThan">
      <formula>$E$3</formula>
    </cfRule>
  </conditionalFormatting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B2083-3011-4972-BDF5-A1D071D9BF63}">
  <dimension ref="A1:V39"/>
  <sheetViews>
    <sheetView showGridLines="0" zoomScaleNormal="100" workbookViewId="0">
      <selection activeCell="P10" sqref="P10"/>
    </sheetView>
  </sheetViews>
  <sheetFormatPr baseColWidth="10" defaultRowHeight="11.4" x14ac:dyDescent="0.2"/>
  <cols>
    <col min="1" max="2" width="20" style="173" customWidth="1"/>
    <col min="3" max="4" width="8.09765625" style="173" customWidth="1"/>
    <col min="5" max="10" width="3.3984375" style="173" customWidth="1"/>
    <col min="11" max="11" width="30" style="173" customWidth="1"/>
    <col min="12" max="12" width="11" style="173"/>
    <col min="13" max="14" width="5" style="173" customWidth="1"/>
    <col min="15" max="17" width="11" style="173"/>
    <col min="18" max="18" width="23.09765625" style="173" customWidth="1"/>
    <col min="19" max="256" width="11" style="173"/>
    <col min="257" max="257" width="20" style="173" customWidth="1"/>
    <col min="258" max="258" width="11" style="173"/>
    <col min="259" max="259" width="9.5" style="173" customWidth="1"/>
    <col min="260" max="260" width="9.3984375" style="173" customWidth="1"/>
    <col min="261" max="266" width="3.3984375" style="173" customWidth="1"/>
    <col min="267" max="267" width="19" style="173" customWidth="1"/>
    <col min="268" max="268" width="11" style="173"/>
    <col min="269" max="270" width="5" style="173" customWidth="1"/>
    <col min="271" max="512" width="11" style="173"/>
    <col min="513" max="513" width="20" style="173" customWidth="1"/>
    <col min="514" max="514" width="11" style="173"/>
    <col min="515" max="515" width="9.5" style="173" customWidth="1"/>
    <col min="516" max="516" width="9.3984375" style="173" customWidth="1"/>
    <col min="517" max="522" width="3.3984375" style="173" customWidth="1"/>
    <col min="523" max="523" width="19" style="173" customWidth="1"/>
    <col min="524" max="524" width="11" style="173"/>
    <col min="525" max="526" width="5" style="173" customWidth="1"/>
    <col min="527" max="768" width="11" style="173"/>
    <col min="769" max="769" width="20" style="173" customWidth="1"/>
    <col min="770" max="770" width="11" style="173"/>
    <col min="771" max="771" width="9.5" style="173" customWidth="1"/>
    <col min="772" max="772" width="9.3984375" style="173" customWidth="1"/>
    <col min="773" max="778" width="3.3984375" style="173" customWidth="1"/>
    <col min="779" max="779" width="19" style="173" customWidth="1"/>
    <col min="780" max="780" width="11" style="173"/>
    <col min="781" max="782" width="5" style="173" customWidth="1"/>
    <col min="783" max="1024" width="11" style="173"/>
    <col min="1025" max="1025" width="20" style="173" customWidth="1"/>
    <col min="1026" max="1026" width="11" style="173"/>
    <col min="1027" max="1027" width="9.5" style="173" customWidth="1"/>
    <col min="1028" max="1028" width="9.3984375" style="173" customWidth="1"/>
    <col min="1029" max="1034" width="3.3984375" style="173" customWidth="1"/>
    <col min="1035" max="1035" width="19" style="173" customWidth="1"/>
    <col min="1036" max="1036" width="11" style="173"/>
    <col min="1037" max="1038" width="5" style="173" customWidth="1"/>
    <col min="1039" max="1280" width="11" style="173"/>
    <col min="1281" max="1281" width="20" style="173" customWidth="1"/>
    <col min="1282" max="1282" width="11" style="173"/>
    <col min="1283" max="1283" width="9.5" style="173" customWidth="1"/>
    <col min="1284" max="1284" width="9.3984375" style="173" customWidth="1"/>
    <col min="1285" max="1290" width="3.3984375" style="173" customWidth="1"/>
    <col min="1291" max="1291" width="19" style="173" customWidth="1"/>
    <col min="1292" max="1292" width="11" style="173"/>
    <col min="1293" max="1294" width="5" style="173" customWidth="1"/>
    <col min="1295" max="1536" width="11" style="173"/>
    <col min="1537" max="1537" width="20" style="173" customWidth="1"/>
    <col min="1538" max="1538" width="11" style="173"/>
    <col min="1539" max="1539" width="9.5" style="173" customWidth="1"/>
    <col min="1540" max="1540" width="9.3984375" style="173" customWidth="1"/>
    <col min="1541" max="1546" width="3.3984375" style="173" customWidth="1"/>
    <col min="1547" max="1547" width="19" style="173" customWidth="1"/>
    <col min="1548" max="1548" width="11" style="173"/>
    <col min="1549" max="1550" width="5" style="173" customWidth="1"/>
    <col min="1551" max="1792" width="11" style="173"/>
    <col min="1793" max="1793" width="20" style="173" customWidth="1"/>
    <col min="1794" max="1794" width="11" style="173"/>
    <col min="1795" max="1795" width="9.5" style="173" customWidth="1"/>
    <col min="1796" max="1796" width="9.3984375" style="173" customWidth="1"/>
    <col min="1797" max="1802" width="3.3984375" style="173" customWidth="1"/>
    <col min="1803" max="1803" width="19" style="173" customWidth="1"/>
    <col min="1804" max="1804" width="11" style="173"/>
    <col min="1805" max="1806" width="5" style="173" customWidth="1"/>
    <col min="1807" max="2048" width="11" style="173"/>
    <col min="2049" max="2049" width="20" style="173" customWidth="1"/>
    <col min="2050" max="2050" width="11" style="173"/>
    <col min="2051" max="2051" width="9.5" style="173" customWidth="1"/>
    <col min="2052" max="2052" width="9.3984375" style="173" customWidth="1"/>
    <col min="2053" max="2058" width="3.3984375" style="173" customWidth="1"/>
    <col min="2059" max="2059" width="19" style="173" customWidth="1"/>
    <col min="2060" max="2060" width="11" style="173"/>
    <col min="2061" max="2062" width="5" style="173" customWidth="1"/>
    <col min="2063" max="2304" width="11" style="173"/>
    <col min="2305" max="2305" width="20" style="173" customWidth="1"/>
    <col min="2306" max="2306" width="11" style="173"/>
    <col min="2307" max="2307" width="9.5" style="173" customWidth="1"/>
    <col min="2308" max="2308" width="9.3984375" style="173" customWidth="1"/>
    <col min="2309" max="2314" width="3.3984375" style="173" customWidth="1"/>
    <col min="2315" max="2315" width="19" style="173" customWidth="1"/>
    <col min="2316" max="2316" width="11" style="173"/>
    <col min="2317" max="2318" width="5" style="173" customWidth="1"/>
    <col min="2319" max="2560" width="11" style="173"/>
    <col min="2561" max="2561" width="20" style="173" customWidth="1"/>
    <col min="2562" max="2562" width="11" style="173"/>
    <col min="2563" max="2563" width="9.5" style="173" customWidth="1"/>
    <col min="2564" max="2564" width="9.3984375" style="173" customWidth="1"/>
    <col min="2565" max="2570" width="3.3984375" style="173" customWidth="1"/>
    <col min="2571" max="2571" width="19" style="173" customWidth="1"/>
    <col min="2572" max="2572" width="11" style="173"/>
    <col min="2573" max="2574" width="5" style="173" customWidth="1"/>
    <col min="2575" max="2816" width="11" style="173"/>
    <col min="2817" max="2817" width="20" style="173" customWidth="1"/>
    <col min="2818" max="2818" width="11" style="173"/>
    <col min="2819" max="2819" width="9.5" style="173" customWidth="1"/>
    <col min="2820" max="2820" width="9.3984375" style="173" customWidth="1"/>
    <col min="2821" max="2826" width="3.3984375" style="173" customWidth="1"/>
    <col min="2827" max="2827" width="19" style="173" customWidth="1"/>
    <col min="2828" max="2828" width="11" style="173"/>
    <col min="2829" max="2830" width="5" style="173" customWidth="1"/>
    <col min="2831" max="3072" width="11" style="173"/>
    <col min="3073" max="3073" width="20" style="173" customWidth="1"/>
    <col min="3074" max="3074" width="11" style="173"/>
    <col min="3075" max="3075" width="9.5" style="173" customWidth="1"/>
    <col min="3076" max="3076" width="9.3984375" style="173" customWidth="1"/>
    <col min="3077" max="3082" width="3.3984375" style="173" customWidth="1"/>
    <col min="3083" max="3083" width="19" style="173" customWidth="1"/>
    <col min="3084" max="3084" width="11" style="173"/>
    <col min="3085" max="3086" width="5" style="173" customWidth="1"/>
    <col min="3087" max="3328" width="11" style="173"/>
    <col min="3329" max="3329" width="20" style="173" customWidth="1"/>
    <col min="3330" max="3330" width="11" style="173"/>
    <col min="3331" max="3331" width="9.5" style="173" customWidth="1"/>
    <col min="3332" max="3332" width="9.3984375" style="173" customWidth="1"/>
    <col min="3333" max="3338" width="3.3984375" style="173" customWidth="1"/>
    <col min="3339" max="3339" width="19" style="173" customWidth="1"/>
    <col min="3340" max="3340" width="11" style="173"/>
    <col min="3341" max="3342" width="5" style="173" customWidth="1"/>
    <col min="3343" max="3584" width="11" style="173"/>
    <col min="3585" max="3585" width="20" style="173" customWidth="1"/>
    <col min="3586" max="3586" width="11" style="173"/>
    <col min="3587" max="3587" width="9.5" style="173" customWidth="1"/>
    <col min="3588" max="3588" width="9.3984375" style="173" customWidth="1"/>
    <col min="3589" max="3594" width="3.3984375" style="173" customWidth="1"/>
    <col min="3595" max="3595" width="19" style="173" customWidth="1"/>
    <col min="3596" max="3596" width="11" style="173"/>
    <col min="3597" max="3598" width="5" style="173" customWidth="1"/>
    <col min="3599" max="3840" width="11" style="173"/>
    <col min="3841" max="3841" width="20" style="173" customWidth="1"/>
    <col min="3842" max="3842" width="11" style="173"/>
    <col min="3843" max="3843" width="9.5" style="173" customWidth="1"/>
    <col min="3844" max="3844" width="9.3984375" style="173" customWidth="1"/>
    <col min="3845" max="3850" width="3.3984375" style="173" customWidth="1"/>
    <col min="3851" max="3851" width="19" style="173" customWidth="1"/>
    <col min="3852" max="3852" width="11" style="173"/>
    <col min="3853" max="3854" width="5" style="173" customWidth="1"/>
    <col min="3855" max="4096" width="11" style="173"/>
    <col min="4097" max="4097" width="20" style="173" customWidth="1"/>
    <col min="4098" max="4098" width="11" style="173"/>
    <col min="4099" max="4099" width="9.5" style="173" customWidth="1"/>
    <col min="4100" max="4100" width="9.3984375" style="173" customWidth="1"/>
    <col min="4101" max="4106" width="3.3984375" style="173" customWidth="1"/>
    <col min="4107" max="4107" width="19" style="173" customWidth="1"/>
    <col min="4108" max="4108" width="11" style="173"/>
    <col min="4109" max="4110" width="5" style="173" customWidth="1"/>
    <col min="4111" max="4352" width="11" style="173"/>
    <col min="4353" max="4353" width="20" style="173" customWidth="1"/>
    <col min="4354" max="4354" width="11" style="173"/>
    <col min="4355" max="4355" width="9.5" style="173" customWidth="1"/>
    <col min="4356" max="4356" width="9.3984375" style="173" customWidth="1"/>
    <col min="4357" max="4362" width="3.3984375" style="173" customWidth="1"/>
    <col min="4363" max="4363" width="19" style="173" customWidth="1"/>
    <col min="4364" max="4364" width="11" style="173"/>
    <col min="4365" max="4366" width="5" style="173" customWidth="1"/>
    <col min="4367" max="4608" width="11" style="173"/>
    <col min="4609" max="4609" width="20" style="173" customWidth="1"/>
    <col min="4610" max="4610" width="11" style="173"/>
    <col min="4611" max="4611" width="9.5" style="173" customWidth="1"/>
    <col min="4612" max="4612" width="9.3984375" style="173" customWidth="1"/>
    <col min="4613" max="4618" width="3.3984375" style="173" customWidth="1"/>
    <col min="4619" max="4619" width="19" style="173" customWidth="1"/>
    <col min="4620" max="4620" width="11" style="173"/>
    <col min="4621" max="4622" width="5" style="173" customWidth="1"/>
    <col min="4623" max="4864" width="11" style="173"/>
    <col min="4865" max="4865" width="20" style="173" customWidth="1"/>
    <col min="4866" max="4866" width="11" style="173"/>
    <col min="4867" max="4867" width="9.5" style="173" customWidth="1"/>
    <col min="4868" max="4868" width="9.3984375" style="173" customWidth="1"/>
    <col min="4869" max="4874" width="3.3984375" style="173" customWidth="1"/>
    <col min="4875" max="4875" width="19" style="173" customWidth="1"/>
    <col min="4876" max="4876" width="11" style="173"/>
    <col min="4877" max="4878" width="5" style="173" customWidth="1"/>
    <col min="4879" max="5120" width="11" style="173"/>
    <col min="5121" max="5121" width="20" style="173" customWidth="1"/>
    <col min="5122" max="5122" width="11" style="173"/>
    <col min="5123" max="5123" width="9.5" style="173" customWidth="1"/>
    <col min="5124" max="5124" width="9.3984375" style="173" customWidth="1"/>
    <col min="5125" max="5130" width="3.3984375" style="173" customWidth="1"/>
    <col min="5131" max="5131" width="19" style="173" customWidth="1"/>
    <col min="5132" max="5132" width="11" style="173"/>
    <col min="5133" max="5134" width="5" style="173" customWidth="1"/>
    <col min="5135" max="5376" width="11" style="173"/>
    <col min="5377" max="5377" width="20" style="173" customWidth="1"/>
    <col min="5378" max="5378" width="11" style="173"/>
    <col min="5379" max="5379" width="9.5" style="173" customWidth="1"/>
    <col min="5380" max="5380" width="9.3984375" style="173" customWidth="1"/>
    <col min="5381" max="5386" width="3.3984375" style="173" customWidth="1"/>
    <col min="5387" max="5387" width="19" style="173" customWidth="1"/>
    <col min="5388" max="5388" width="11" style="173"/>
    <col min="5389" max="5390" width="5" style="173" customWidth="1"/>
    <col min="5391" max="5632" width="11" style="173"/>
    <col min="5633" max="5633" width="20" style="173" customWidth="1"/>
    <col min="5634" max="5634" width="11" style="173"/>
    <col min="5635" max="5635" width="9.5" style="173" customWidth="1"/>
    <col min="5636" max="5636" width="9.3984375" style="173" customWidth="1"/>
    <col min="5637" max="5642" width="3.3984375" style="173" customWidth="1"/>
    <col min="5643" max="5643" width="19" style="173" customWidth="1"/>
    <col min="5644" max="5644" width="11" style="173"/>
    <col min="5645" max="5646" width="5" style="173" customWidth="1"/>
    <col min="5647" max="5888" width="11" style="173"/>
    <col min="5889" max="5889" width="20" style="173" customWidth="1"/>
    <col min="5890" max="5890" width="11" style="173"/>
    <col min="5891" max="5891" width="9.5" style="173" customWidth="1"/>
    <col min="5892" max="5892" width="9.3984375" style="173" customWidth="1"/>
    <col min="5893" max="5898" width="3.3984375" style="173" customWidth="1"/>
    <col min="5899" max="5899" width="19" style="173" customWidth="1"/>
    <col min="5900" max="5900" width="11" style="173"/>
    <col min="5901" max="5902" width="5" style="173" customWidth="1"/>
    <col min="5903" max="6144" width="11" style="173"/>
    <col min="6145" max="6145" width="20" style="173" customWidth="1"/>
    <col min="6146" max="6146" width="11" style="173"/>
    <col min="6147" max="6147" width="9.5" style="173" customWidth="1"/>
    <col min="6148" max="6148" width="9.3984375" style="173" customWidth="1"/>
    <col min="6149" max="6154" width="3.3984375" style="173" customWidth="1"/>
    <col min="6155" max="6155" width="19" style="173" customWidth="1"/>
    <col min="6156" max="6156" width="11" style="173"/>
    <col min="6157" max="6158" width="5" style="173" customWidth="1"/>
    <col min="6159" max="6400" width="11" style="173"/>
    <col min="6401" max="6401" width="20" style="173" customWidth="1"/>
    <col min="6402" max="6402" width="11" style="173"/>
    <col min="6403" max="6403" width="9.5" style="173" customWidth="1"/>
    <col min="6404" max="6404" width="9.3984375" style="173" customWidth="1"/>
    <col min="6405" max="6410" width="3.3984375" style="173" customWidth="1"/>
    <col min="6411" max="6411" width="19" style="173" customWidth="1"/>
    <col min="6412" max="6412" width="11" style="173"/>
    <col min="6413" max="6414" width="5" style="173" customWidth="1"/>
    <col min="6415" max="6656" width="11" style="173"/>
    <col min="6657" max="6657" width="20" style="173" customWidth="1"/>
    <col min="6658" max="6658" width="11" style="173"/>
    <col min="6659" max="6659" width="9.5" style="173" customWidth="1"/>
    <col min="6660" max="6660" width="9.3984375" style="173" customWidth="1"/>
    <col min="6661" max="6666" width="3.3984375" style="173" customWidth="1"/>
    <col min="6667" max="6667" width="19" style="173" customWidth="1"/>
    <col min="6668" max="6668" width="11" style="173"/>
    <col min="6669" max="6670" width="5" style="173" customWidth="1"/>
    <col min="6671" max="6912" width="11" style="173"/>
    <col min="6913" max="6913" width="20" style="173" customWidth="1"/>
    <col min="6914" max="6914" width="11" style="173"/>
    <col min="6915" max="6915" width="9.5" style="173" customWidth="1"/>
    <col min="6916" max="6916" width="9.3984375" style="173" customWidth="1"/>
    <col min="6917" max="6922" width="3.3984375" style="173" customWidth="1"/>
    <col min="6923" max="6923" width="19" style="173" customWidth="1"/>
    <col min="6924" max="6924" width="11" style="173"/>
    <col min="6925" max="6926" width="5" style="173" customWidth="1"/>
    <col min="6927" max="7168" width="11" style="173"/>
    <col min="7169" max="7169" width="20" style="173" customWidth="1"/>
    <col min="7170" max="7170" width="11" style="173"/>
    <col min="7171" max="7171" width="9.5" style="173" customWidth="1"/>
    <col min="7172" max="7172" width="9.3984375" style="173" customWidth="1"/>
    <col min="7173" max="7178" width="3.3984375" style="173" customWidth="1"/>
    <col min="7179" max="7179" width="19" style="173" customWidth="1"/>
    <col min="7180" max="7180" width="11" style="173"/>
    <col min="7181" max="7182" width="5" style="173" customWidth="1"/>
    <col min="7183" max="7424" width="11" style="173"/>
    <col min="7425" max="7425" width="20" style="173" customWidth="1"/>
    <col min="7426" max="7426" width="11" style="173"/>
    <col min="7427" max="7427" width="9.5" style="173" customWidth="1"/>
    <col min="7428" max="7428" width="9.3984375" style="173" customWidth="1"/>
    <col min="7429" max="7434" width="3.3984375" style="173" customWidth="1"/>
    <col min="7435" max="7435" width="19" style="173" customWidth="1"/>
    <col min="7436" max="7436" width="11" style="173"/>
    <col min="7437" max="7438" width="5" style="173" customWidth="1"/>
    <col min="7439" max="7680" width="11" style="173"/>
    <col min="7681" max="7681" width="20" style="173" customWidth="1"/>
    <col min="7682" max="7682" width="11" style="173"/>
    <col min="7683" max="7683" width="9.5" style="173" customWidth="1"/>
    <col min="7684" max="7684" width="9.3984375" style="173" customWidth="1"/>
    <col min="7685" max="7690" width="3.3984375" style="173" customWidth="1"/>
    <col min="7691" max="7691" width="19" style="173" customWidth="1"/>
    <col min="7692" max="7692" width="11" style="173"/>
    <col min="7693" max="7694" width="5" style="173" customWidth="1"/>
    <col min="7695" max="7936" width="11" style="173"/>
    <col min="7937" max="7937" width="20" style="173" customWidth="1"/>
    <col min="7938" max="7938" width="11" style="173"/>
    <col min="7939" max="7939" width="9.5" style="173" customWidth="1"/>
    <col min="7940" max="7940" width="9.3984375" style="173" customWidth="1"/>
    <col min="7941" max="7946" width="3.3984375" style="173" customWidth="1"/>
    <col min="7947" max="7947" width="19" style="173" customWidth="1"/>
    <col min="7948" max="7948" width="11" style="173"/>
    <col min="7949" max="7950" width="5" style="173" customWidth="1"/>
    <col min="7951" max="8192" width="11" style="173"/>
    <col min="8193" max="8193" width="20" style="173" customWidth="1"/>
    <col min="8194" max="8194" width="11" style="173"/>
    <col min="8195" max="8195" width="9.5" style="173" customWidth="1"/>
    <col min="8196" max="8196" width="9.3984375" style="173" customWidth="1"/>
    <col min="8197" max="8202" width="3.3984375" style="173" customWidth="1"/>
    <col min="8203" max="8203" width="19" style="173" customWidth="1"/>
    <col min="8204" max="8204" width="11" style="173"/>
    <col min="8205" max="8206" width="5" style="173" customWidth="1"/>
    <col min="8207" max="8448" width="11" style="173"/>
    <col min="8449" max="8449" width="20" style="173" customWidth="1"/>
    <col min="8450" max="8450" width="11" style="173"/>
    <col min="8451" max="8451" width="9.5" style="173" customWidth="1"/>
    <col min="8452" max="8452" width="9.3984375" style="173" customWidth="1"/>
    <col min="8453" max="8458" width="3.3984375" style="173" customWidth="1"/>
    <col min="8459" max="8459" width="19" style="173" customWidth="1"/>
    <col min="8460" max="8460" width="11" style="173"/>
    <col min="8461" max="8462" width="5" style="173" customWidth="1"/>
    <col min="8463" max="8704" width="11" style="173"/>
    <col min="8705" max="8705" width="20" style="173" customWidth="1"/>
    <col min="8706" max="8706" width="11" style="173"/>
    <col min="8707" max="8707" width="9.5" style="173" customWidth="1"/>
    <col min="8708" max="8708" width="9.3984375" style="173" customWidth="1"/>
    <col min="8709" max="8714" width="3.3984375" style="173" customWidth="1"/>
    <col min="8715" max="8715" width="19" style="173" customWidth="1"/>
    <col min="8716" max="8716" width="11" style="173"/>
    <col min="8717" max="8718" width="5" style="173" customWidth="1"/>
    <col min="8719" max="8960" width="11" style="173"/>
    <col min="8961" max="8961" width="20" style="173" customWidth="1"/>
    <col min="8962" max="8962" width="11" style="173"/>
    <col min="8963" max="8963" width="9.5" style="173" customWidth="1"/>
    <col min="8964" max="8964" width="9.3984375" style="173" customWidth="1"/>
    <col min="8965" max="8970" width="3.3984375" style="173" customWidth="1"/>
    <col min="8971" max="8971" width="19" style="173" customWidth="1"/>
    <col min="8972" max="8972" width="11" style="173"/>
    <col min="8973" max="8974" width="5" style="173" customWidth="1"/>
    <col min="8975" max="9216" width="11" style="173"/>
    <col min="9217" max="9217" width="20" style="173" customWidth="1"/>
    <col min="9218" max="9218" width="11" style="173"/>
    <col min="9219" max="9219" width="9.5" style="173" customWidth="1"/>
    <col min="9220" max="9220" width="9.3984375" style="173" customWidth="1"/>
    <col min="9221" max="9226" width="3.3984375" style="173" customWidth="1"/>
    <col min="9227" max="9227" width="19" style="173" customWidth="1"/>
    <col min="9228" max="9228" width="11" style="173"/>
    <col min="9229" max="9230" width="5" style="173" customWidth="1"/>
    <col min="9231" max="9472" width="11" style="173"/>
    <col min="9473" max="9473" width="20" style="173" customWidth="1"/>
    <col min="9474" max="9474" width="11" style="173"/>
    <col min="9475" max="9475" width="9.5" style="173" customWidth="1"/>
    <col min="9476" max="9476" width="9.3984375" style="173" customWidth="1"/>
    <col min="9477" max="9482" width="3.3984375" style="173" customWidth="1"/>
    <col min="9483" max="9483" width="19" style="173" customWidth="1"/>
    <col min="9484" max="9484" width="11" style="173"/>
    <col min="9485" max="9486" width="5" style="173" customWidth="1"/>
    <col min="9487" max="9728" width="11" style="173"/>
    <col min="9729" max="9729" width="20" style="173" customWidth="1"/>
    <col min="9730" max="9730" width="11" style="173"/>
    <col min="9731" max="9731" width="9.5" style="173" customWidth="1"/>
    <col min="9732" max="9732" width="9.3984375" style="173" customWidth="1"/>
    <col min="9733" max="9738" width="3.3984375" style="173" customWidth="1"/>
    <col min="9739" max="9739" width="19" style="173" customWidth="1"/>
    <col min="9740" max="9740" width="11" style="173"/>
    <col min="9741" max="9742" width="5" style="173" customWidth="1"/>
    <col min="9743" max="9984" width="11" style="173"/>
    <col min="9985" max="9985" width="20" style="173" customWidth="1"/>
    <col min="9986" max="9986" width="11" style="173"/>
    <col min="9987" max="9987" width="9.5" style="173" customWidth="1"/>
    <col min="9988" max="9988" width="9.3984375" style="173" customWidth="1"/>
    <col min="9989" max="9994" width="3.3984375" style="173" customWidth="1"/>
    <col min="9995" max="9995" width="19" style="173" customWidth="1"/>
    <col min="9996" max="9996" width="11" style="173"/>
    <col min="9997" max="9998" width="5" style="173" customWidth="1"/>
    <col min="9999" max="10240" width="11" style="173"/>
    <col min="10241" max="10241" width="20" style="173" customWidth="1"/>
    <col min="10242" max="10242" width="11" style="173"/>
    <col min="10243" max="10243" width="9.5" style="173" customWidth="1"/>
    <col min="10244" max="10244" width="9.3984375" style="173" customWidth="1"/>
    <col min="10245" max="10250" width="3.3984375" style="173" customWidth="1"/>
    <col min="10251" max="10251" width="19" style="173" customWidth="1"/>
    <col min="10252" max="10252" width="11" style="173"/>
    <col min="10253" max="10254" width="5" style="173" customWidth="1"/>
    <col min="10255" max="10496" width="11" style="173"/>
    <col min="10497" max="10497" width="20" style="173" customWidth="1"/>
    <col min="10498" max="10498" width="11" style="173"/>
    <col min="10499" max="10499" width="9.5" style="173" customWidth="1"/>
    <col min="10500" max="10500" width="9.3984375" style="173" customWidth="1"/>
    <col min="10501" max="10506" width="3.3984375" style="173" customWidth="1"/>
    <col min="10507" max="10507" width="19" style="173" customWidth="1"/>
    <col min="10508" max="10508" width="11" style="173"/>
    <col min="10509" max="10510" width="5" style="173" customWidth="1"/>
    <col min="10511" max="10752" width="11" style="173"/>
    <col min="10753" max="10753" width="20" style="173" customWidth="1"/>
    <col min="10754" max="10754" width="11" style="173"/>
    <col min="10755" max="10755" width="9.5" style="173" customWidth="1"/>
    <col min="10756" max="10756" width="9.3984375" style="173" customWidth="1"/>
    <col min="10757" max="10762" width="3.3984375" style="173" customWidth="1"/>
    <col min="10763" max="10763" width="19" style="173" customWidth="1"/>
    <col min="10764" max="10764" width="11" style="173"/>
    <col min="10765" max="10766" width="5" style="173" customWidth="1"/>
    <col min="10767" max="11008" width="11" style="173"/>
    <col min="11009" max="11009" width="20" style="173" customWidth="1"/>
    <col min="11010" max="11010" width="11" style="173"/>
    <col min="11011" max="11011" width="9.5" style="173" customWidth="1"/>
    <col min="11012" max="11012" width="9.3984375" style="173" customWidth="1"/>
    <col min="11013" max="11018" width="3.3984375" style="173" customWidth="1"/>
    <col min="11019" max="11019" width="19" style="173" customWidth="1"/>
    <col min="11020" max="11020" width="11" style="173"/>
    <col min="11021" max="11022" width="5" style="173" customWidth="1"/>
    <col min="11023" max="11264" width="11" style="173"/>
    <col min="11265" max="11265" width="20" style="173" customWidth="1"/>
    <col min="11266" max="11266" width="11" style="173"/>
    <col min="11267" max="11267" width="9.5" style="173" customWidth="1"/>
    <col min="11268" max="11268" width="9.3984375" style="173" customWidth="1"/>
    <col min="11269" max="11274" width="3.3984375" style="173" customWidth="1"/>
    <col min="11275" max="11275" width="19" style="173" customWidth="1"/>
    <col min="11276" max="11276" width="11" style="173"/>
    <col min="11277" max="11278" width="5" style="173" customWidth="1"/>
    <col min="11279" max="11520" width="11" style="173"/>
    <col min="11521" max="11521" width="20" style="173" customWidth="1"/>
    <col min="11522" max="11522" width="11" style="173"/>
    <col min="11523" max="11523" width="9.5" style="173" customWidth="1"/>
    <col min="11524" max="11524" width="9.3984375" style="173" customWidth="1"/>
    <col min="11525" max="11530" width="3.3984375" style="173" customWidth="1"/>
    <col min="11531" max="11531" width="19" style="173" customWidth="1"/>
    <col min="11532" max="11532" width="11" style="173"/>
    <col min="11533" max="11534" width="5" style="173" customWidth="1"/>
    <col min="11535" max="11776" width="11" style="173"/>
    <col min="11777" max="11777" width="20" style="173" customWidth="1"/>
    <col min="11778" max="11778" width="11" style="173"/>
    <col min="11779" max="11779" width="9.5" style="173" customWidth="1"/>
    <col min="11780" max="11780" width="9.3984375" style="173" customWidth="1"/>
    <col min="11781" max="11786" width="3.3984375" style="173" customWidth="1"/>
    <col min="11787" max="11787" width="19" style="173" customWidth="1"/>
    <col min="11788" max="11788" width="11" style="173"/>
    <col min="11789" max="11790" width="5" style="173" customWidth="1"/>
    <col min="11791" max="12032" width="11" style="173"/>
    <col min="12033" max="12033" width="20" style="173" customWidth="1"/>
    <col min="12034" max="12034" width="11" style="173"/>
    <col min="12035" max="12035" width="9.5" style="173" customWidth="1"/>
    <col min="12036" max="12036" width="9.3984375" style="173" customWidth="1"/>
    <col min="12037" max="12042" width="3.3984375" style="173" customWidth="1"/>
    <col min="12043" max="12043" width="19" style="173" customWidth="1"/>
    <col min="12044" max="12044" width="11" style="173"/>
    <col min="12045" max="12046" width="5" style="173" customWidth="1"/>
    <col min="12047" max="12288" width="11" style="173"/>
    <col min="12289" max="12289" width="20" style="173" customWidth="1"/>
    <col min="12290" max="12290" width="11" style="173"/>
    <col min="12291" max="12291" width="9.5" style="173" customWidth="1"/>
    <col min="12292" max="12292" width="9.3984375" style="173" customWidth="1"/>
    <col min="12293" max="12298" width="3.3984375" style="173" customWidth="1"/>
    <col min="12299" max="12299" width="19" style="173" customWidth="1"/>
    <col min="12300" max="12300" width="11" style="173"/>
    <col min="12301" max="12302" width="5" style="173" customWidth="1"/>
    <col min="12303" max="12544" width="11" style="173"/>
    <col min="12545" max="12545" width="20" style="173" customWidth="1"/>
    <col min="12546" max="12546" width="11" style="173"/>
    <col min="12547" max="12547" width="9.5" style="173" customWidth="1"/>
    <col min="12548" max="12548" width="9.3984375" style="173" customWidth="1"/>
    <col min="12549" max="12554" width="3.3984375" style="173" customWidth="1"/>
    <col min="12555" max="12555" width="19" style="173" customWidth="1"/>
    <col min="12556" max="12556" width="11" style="173"/>
    <col min="12557" max="12558" width="5" style="173" customWidth="1"/>
    <col min="12559" max="12800" width="11" style="173"/>
    <col min="12801" max="12801" width="20" style="173" customWidth="1"/>
    <col min="12802" max="12802" width="11" style="173"/>
    <col min="12803" max="12803" width="9.5" style="173" customWidth="1"/>
    <col min="12804" max="12804" width="9.3984375" style="173" customWidth="1"/>
    <col min="12805" max="12810" width="3.3984375" style="173" customWidth="1"/>
    <col min="12811" max="12811" width="19" style="173" customWidth="1"/>
    <col min="12812" max="12812" width="11" style="173"/>
    <col min="12813" max="12814" width="5" style="173" customWidth="1"/>
    <col min="12815" max="13056" width="11" style="173"/>
    <col min="13057" max="13057" width="20" style="173" customWidth="1"/>
    <col min="13058" max="13058" width="11" style="173"/>
    <col min="13059" max="13059" width="9.5" style="173" customWidth="1"/>
    <col min="13060" max="13060" width="9.3984375" style="173" customWidth="1"/>
    <col min="13061" max="13066" width="3.3984375" style="173" customWidth="1"/>
    <col min="13067" max="13067" width="19" style="173" customWidth="1"/>
    <col min="13068" max="13068" width="11" style="173"/>
    <col min="13069" max="13070" width="5" style="173" customWidth="1"/>
    <col min="13071" max="13312" width="11" style="173"/>
    <col min="13313" max="13313" width="20" style="173" customWidth="1"/>
    <col min="13314" max="13314" width="11" style="173"/>
    <col min="13315" max="13315" width="9.5" style="173" customWidth="1"/>
    <col min="13316" max="13316" width="9.3984375" style="173" customWidth="1"/>
    <col min="13317" max="13322" width="3.3984375" style="173" customWidth="1"/>
    <col min="13323" max="13323" width="19" style="173" customWidth="1"/>
    <col min="13324" max="13324" width="11" style="173"/>
    <col min="13325" max="13326" width="5" style="173" customWidth="1"/>
    <col min="13327" max="13568" width="11" style="173"/>
    <col min="13569" max="13569" width="20" style="173" customWidth="1"/>
    <col min="13570" max="13570" width="11" style="173"/>
    <col min="13571" max="13571" width="9.5" style="173" customWidth="1"/>
    <col min="13572" max="13572" width="9.3984375" style="173" customWidth="1"/>
    <col min="13573" max="13578" width="3.3984375" style="173" customWidth="1"/>
    <col min="13579" max="13579" width="19" style="173" customWidth="1"/>
    <col min="13580" max="13580" width="11" style="173"/>
    <col min="13581" max="13582" width="5" style="173" customWidth="1"/>
    <col min="13583" max="13824" width="11" style="173"/>
    <col min="13825" max="13825" width="20" style="173" customWidth="1"/>
    <col min="13826" max="13826" width="11" style="173"/>
    <col min="13827" max="13827" width="9.5" style="173" customWidth="1"/>
    <col min="13828" max="13828" width="9.3984375" style="173" customWidth="1"/>
    <col min="13829" max="13834" width="3.3984375" style="173" customWidth="1"/>
    <col min="13835" max="13835" width="19" style="173" customWidth="1"/>
    <col min="13836" max="13836" width="11" style="173"/>
    <col min="13837" max="13838" width="5" style="173" customWidth="1"/>
    <col min="13839" max="14080" width="11" style="173"/>
    <col min="14081" max="14081" width="20" style="173" customWidth="1"/>
    <col min="14082" max="14082" width="11" style="173"/>
    <col min="14083" max="14083" width="9.5" style="173" customWidth="1"/>
    <col min="14084" max="14084" width="9.3984375" style="173" customWidth="1"/>
    <col min="14085" max="14090" width="3.3984375" style="173" customWidth="1"/>
    <col min="14091" max="14091" width="19" style="173" customWidth="1"/>
    <col min="14092" max="14092" width="11" style="173"/>
    <col min="14093" max="14094" width="5" style="173" customWidth="1"/>
    <col min="14095" max="14336" width="11" style="173"/>
    <col min="14337" max="14337" width="20" style="173" customWidth="1"/>
    <col min="14338" max="14338" width="11" style="173"/>
    <col min="14339" max="14339" width="9.5" style="173" customWidth="1"/>
    <col min="14340" max="14340" width="9.3984375" style="173" customWidth="1"/>
    <col min="14341" max="14346" width="3.3984375" style="173" customWidth="1"/>
    <col min="14347" max="14347" width="19" style="173" customWidth="1"/>
    <col min="14348" max="14348" width="11" style="173"/>
    <col min="14349" max="14350" width="5" style="173" customWidth="1"/>
    <col min="14351" max="14592" width="11" style="173"/>
    <col min="14593" max="14593" width="20" style="173" customWidth="1"/>
    <col min="14594" max="14594" width="11" style="173"/>
    <col min="14595" max="14595" width="9.5" style="173" customWidth="1"/>
    <col min="14596" max="14596" width="9.3984375" style="173" customWidth="1"/>
    <col min="14597" max="14602" width="3.3984375" style="173" customWidth="1"/>
    <col min="14603" max="14603" width="19" style="173" customWidth="1"/>
    <col min="14604" max="14604" width="11" style="173"/>
    <col min="14605" max="14606" width="5" style="173" customWidth="1"/>
    <col min="14607" max="14848" width="11" style="173"/>
    <col min="14849" max="14849" width="20" style="173" customWidth="1"/>
    <col min="14850" max="14850" width="11" style="173"/>
    <col min="14851" max="14851" width="9.5" style="173" customWidth="1"/>
    <col min="14852" max="14852" width="9.3984375" style="173" customWidth="1"/>
    <col min="14853" max="14858" width="3.3984375" style="173" customWidth="1"/>
    <col min="14859" max="14859" width="19" style="173" customWidth="1"/>
    <col min="14860" max="14860" width="11" style="173"/>
    <col min="14861" max="14862" width="5" style="173" customWidth="1"/>
    <col min="14863" max="15104" width="11" style="173"/>
    <col min="15105" max="15105" width="20" style="173" customWidth="1"/>
    <col min="15106" max="15106" width="11" style="173"/>
    <col min="15107" max="15107" width="9.5" style="173" customWidth="1"/>
    <col min="15108" max="15108" width="9.3984375" style="173" customWidth="1"/>
    <col min="15109" max="15114" width="3.3984375" style="173" customWidth="1"/>
    <col min="15115" max="15115" width="19" style="173" customWidth="1"/>
    <col min="15116" max="15116" width="11" style="173"/>
    <col min="15117" max="15118" width="5" style="173" customWidth="1"/>
    <col min="15119" max="15360" width="11" style="173"/>
    <col min="15361" max="15361" width="20" style="173" customWidth="1"/>
    <col min="15362" max="15362" width="11" style="173"/>
    <col min="15363" max="15363" width="9.5" style="173" customWidth="1"/>
    <col min="15364" max="15364" width="9.3984375" style="173" customWidth="1"/>
    <col min="15365" max="15370" width="3.3984375" style="173" customWidth="1"/>
    <col min="15371" max="15371" width="19" style="173" customWidth="1"/>
    <col min="15372" max="15372" width="11" style="173"/>
    <col min="15373" max="15374" width="5" style="173" customWidth="1"/>
    <col min="15375" max="15616" width="11" style="173"/>
    <col min="15617" max="15617" width="20" style="173" customWidth="1"/>
    <col min="15618" max="15618" width="11" style="173"/>
    <col min="15619" max="15619" width="9.5" style="173" customWidth="1"/>
    <col min="15620" max="15620" width="9.3984375" style="173" customWidth="1"/>
    <col min="15621" max="15626" width="3.3984375" style="173" customWidth="1"/>
    <col min="15627" max="15627" width="19" style="173" customWidth="1"/>
    <col min="15628" max="15628" width="11" style="173"/>
    <col min="15629" max="15630" width="5" style="173" customWidth="1"/>
    <col min="15631" max="15872" width="11" style="173"/>
    <col min="15873" max="15873" width="20" style="173" customWidth="1"/>
    <col min="15874" max="15874" width="11" style="173"/>
    <col min="15875" max="15875" width="9.5" style="173" customWidth="1"/>
    <col min="15876" max="15876" width="9.3984375" style="173" customWidth="1"/>
    <col min="15877" max="15882" width="3.3984375" style="173" customWidth="1"/>
    <col min="15883" max="15883" width="19" style="173" customWidth="1"/>
    <col min="15884" max="15884" width="11" style="173"/>
    <col min="15885" max="15886" width="5" style="173" customWidth="1"/>
    <col min="15887" max="16128" width="11" style="173"/>
    <col min="16129" max="16129" width="20" style="173" customWidth="1"/>
    <col min="16130" max="16130" width="11" style="173"/>
    <col min="16131" max="16131" width="9.5" style="173" customWidth="1"/>
    <col min="16132" max="16132" width="9.3984375" style="173" customWidth="1"/>
    <col min="16133" max="16138" width="3.3984375" style="173" customWidth="1"/>
    <col min="16139" max="16139" width="19" style="173" customWidth="1"/>
    <col min="16140" max="16140" width="11" style="173"/>
    <col min="16141" max="16142" width="5" style="173" customWidth="1"/>
    <col min="16143" max="16384" width="11" style="173"/>
  </cols>
  <sheetData>
    <row r="1" spans="1:22" ht="12" thickBot="1" x14ac:dyDescent="0.25"/>
    <row r="2" spans="1:22" ht="14.25" customHeight="1" x14ac:dyDescent="0.2">
      <c r="A2" s="801"/>
      <c r="B2" s="802"/>
      <c r="C2" s="802"/>
      <c r="D2" s="802"/>
      <c r="E2" s="802"/>
      <c r="F2" s="803"/>
      <c r="G2" s="807" t="s">
        <v>406</v>
      </c>
      <c r="H2" s="807"/>
      <c r="I2" s="807"/>
      <c r="J2" s="807"/>
      <c r="K2" s="798"/>
      <c r="Q2" s="194"/>
      <c r="R2" s="194"/>
      <c r="S2" s="194"/>
      <c r="T2" s="194"/>
      <c r="U2" s="193"/>
      <c r="V2" s="193"/>
    </row>
    <row r="3" spans="1:22" ht="14.25" customHeight="1" x14ac:dyDescent="0.2">
      <c r="A3" s="804"/>
      <c r="B3" s="805"/>
      <c r="C3" s="805"/>
      <c r="D3" s="805"/>
      <c r="E3" s="805"/>
      <c r="F3" s="806"/>
      <c r="G3" s="808"/>
      <c r="H3" s="808"/>
      <c r="I3" s="808"/>
      <c r="J3" s="808"/>
      <c r="K3" s="799"/>
      <c r="Q3" s="194"/>
      <c r="R3" s="194"/>
      <c r="S3" s="194"/>
      <c r="T3" s="194"/>
      <c r="U3" s="193"/>
      <c r="V3" s="193"/>
    </row>
    <row r="4" spans="1:22" ht="14.25" customHeight="1" x14ac:dyDescent="0.2">
      <c r="A4" s="804"/>
      <c r="B4" s="805"/>
      <c r="C4" s="805"/>
      <c r="D4" s="805"/>
      <c r="E4" s="805"/>
      <c r="F4" s="806"/>
      <c r="G4" s="808" t="s">
        <v>407</v>
      </c>
      <c r="H4" s="808"/>
      <c r="I4" s="808"/>
      <c r="J4" s="808"/>
      <c r="K4" s="799"/>
      <c r="Q4" s="194"/>
      <c r="R4" s="194"/>
      <c r="S4" s="194"/>
      <c r="T4" s="194"/>
      <c r="U4" s="193"/>
      <c r="V4" s="193"/>
    </row>
    <row r="5" spans="1:22" ht="14.25" customHeight="1" thickBot="1" x14ac:dyDescent="0.25">
      <c r="A5" s="804"/>
      <c r="B5" s="805"/>
      <c r="C5" s="805"/>
      <c r="D5" s="805"/>
      <c r="E5" s="805"/>
      <c r="F5" s="806"/>
      <c r="G5" s="809"/>
      <c r="H5" s="809"/>
      <c r="I5" s="809"/>
      <c r="J5" s="809"/>
      <c r="K5" s="800"/>
      <c r="Q5" s="194"/>
      <c r="R5" s="194"/>
      <c r="S5" s="194"/>
      <c r="T5" s="194"/>
      <c r="U5" s="193"/>
      <c r="V5" s="193"/>
    </row>
    <row r="6" spans="1:22" ht="17.25" customHeight="1" thickBot="1" x14ac:dyDescent="0.3">
      <c r="A6" s="810" t="s">
        <v>354</v>
      </c>
      <c r="B6" s="811"/>
      <c r="C6" s="823" t="s">
        <v>355</v>
      </c>
      <c r="D6" s="824"/>
      <c r="E6" s="824"/>
      <c r="F6" s="824"/>
      <c r="G6" s="824"/>
      <c r="H6" s="824"/>
      <c r="I6" s="824"/>
      <c r="J6" s="825"/>
      <c r="K6" s="216" t="s">
        <v>410</v>
      </c>
      <c r="Q6" s="209"/>
      <c r="R6" s="209"/>
      <c r="S6" s="209"/>
      <c r="T6" s="209"/>
      <c r="U6" s="209"/>
      <c r="V6" s="209"/>
    </row>
    <row r="7" spans="1:22" ht="14.25" customHeight="1" x14ac:dyDescent="0.25">
      <c r="A7" s="174" t="s">
        <v>356</v>
      </c>
      <c r="B7" s="175" t="s">
        <v>357</v>
      </c>
      <c r="C7" s="812" t="s">
        <v>358</v>
      </c>
      <c r="D7" s="812"/>
      <c r="E7" s="812"/>
      <c r="F7" s="812"/>
      <c r="G7" s="812"/>
      <c r="H7" s="812"/>
      <c r="I7" s="812"/>
      <c r="J7" s="812"/>
      <c r="K7" s="813"/>
      <c r="Q7" s="206"/>
      <c r="R7" s="206"/>
      <c r="S7" s="210"/>
      <c r="T7" s="211"/>
      <c r="U7" s="207"/>
      <c r="V7" s="212"/>
    </row>
    <row r="8" spans="1:22" ht="14.25" customHeight="1" x14ac:dyDescent="0.25">
      <c r="A8" s="814" t="s">
        <v>398</v>
      </c>
      <c r="B8" s="815"/>
      <c r="C8" s="816" t="s">
        <v>359</v>
      </c>
      <c r="D8" s="816"/>
      <c r="E8" s="816" t="s">
        <v>360</v>
      </c>
      <c r="F8" s="816"/>
      <c r="G8" s="816"/>
      <c r="H8" s="816" t="s">
        <v>361</v>
      </c>
      <c r="I8" s="816"/>
      <c r="J8" s="816"/>
      <c r="K8" s="176" t="s">
        <v>408</v>
      </c>
      <c r="Q8" s="206"/>
      <c r="R8" s="206"/>
      <c r="S8" s="211"/>
      <c r="T8" s="211"/>
      <c r="U8" s="207"/>
      <c r="V8" s="212"/>
    </row>
    <row r="9" spans="1:22" ht="18.75" customHeight="1" x14ac:dyDescent="0.25">
      <c r="A9" s="815"/>
      <c r="B9" s="815"/>
      <c r="C9" s="817" t="s">
        <v>362</v>
      </c>
      <c r="D9" s="817"/>
      <c r="E9" s="818">
        <f>E36</f>
        <v>8</v>
      </c>
      <c r="F9" s="818"/>
      <c r="G9" s="818"/>
      <c r="H9" s="819"/>
      <c r="I9" s="819"/>
      <c r="J9" s="819"/>
      <c r="K9" s="177"/>
      <c r="Q9" s="206"/>
      <c r="R9" s="213"/>
      <c r="S9" s="210"/>
      <c r="T9" s="211"/>
      <c r="U9" s="207"/>
      <c r="V9" s="212"/>
    </row>
    <row r="10" spans="1:22" ht="18.75" customHeight="1" x14ac:dyDescent="0.25">
      <c r="A10" s="815"/>
      <c r="B10" s="815"/>
      <c r="C10" s="820" t="s">
        <v>363</v>
      </c>
      <c r="D10" s="820"/>
      <c r="E10" s="821">
        <f>F36</f>
        <v>3</v>
      </c>
      <c r="F10" s="821"/>
      <c r="G10" s="821"/>
      <c r="H10" s="822"/>
      <c r="I10" s="822"/>
      <c r="J10" s="822"/>
      <c r="K10" s="178"/>
      <c r="N10" s="393"/>
      <c r="O10" s="394"/>
      <c r="P10" s="394"/>
      <c r="Q10" s="395"/>
      <c r="R10" s="213"/>
      <c r="S10" s="211"/>
      <c r="T10" s="211"/>
      <c r="U10" s="207"/>
      <c r="V10" s="212"/>
    </row>
    <row r="11" spans="1:22" ht="18.75" customHeight="1" x14ac:dyDescent="0.25">
      <c r="A11" s="826" t="s">
        <v>399</v>
      </c>
      <c r="B11" s="827"/>
      <c r="C11" s="820" t="s">
        <v>364</v>
      </c>
      <c r="D11" s="820"/>
      <c r="E11" s="821">
        <f>G36</f>
        <v>0</v>
      </c>
      <c r="F11" s="821"/>
      <c r="G11" s="821"/>
      <c r="H11" s="822"/>
      <c r="I11" s="822"/>
      <c r="J11" s="822"/>
      <c r="K11" s="178"/>
      <c r="N11" s="394"/>
      <c r="O11" s="394"/>
      <c r="P11" s="394"/>
      <c r="Q11" s="395"/>
      <c r="R11" s="213"/>
      <c r="S11" s="211"/>
      <c r="T11" s="211"/>
      <c r="U11" s="207"/>
      <c r="V11" s="212"/>
    </row>
    <row r="12" spans="1:22" ht="18.75" customHeight="1" x14ac:dyDescent="0.2">
      <c r="A12" s="827"/>
      <c r="B12" s="827"/>
      <c r="C12" s="820" t="s">
        <v>365</v>
      </c>
      <c r="D12" s="820"/>
      <c r="E12" s="821">
        <f>H36</f>
        <v>4</v>
      </c>
      <c r="F12" s="821"/>
      <c r="G12" s="821"/>
      <c r="H12" s="822"/>
      <c r="I12" s="822"/>
      <c r="J12" s="822"/>
      <c r="K12" s="178"/>
      <c r="N12" s="394"/>
      <c r="O12" s="394"/>
      <c r="P12" s="394"/>
      <c r="Q12" s="396"/>
      <c r="R12" s="213"/>
      <c r="S12" s="213"/>
      <c r="T12" s="213"/>
      <c r="U12" s="213"/>
      <c r="V12" s="206"/>
    </row>
    <row r="13" spans="1:22" ht="18.75" customHeight="1" x14ac:dyDescent="0.35">
      <c r="A13" s="828" t="s">
        <v>739</v>
      </c>
      <c r="B13" s="828"/>
      <c r="C13" s="820" t="s">
        <v>766</v>
      </c>
      <c r="D13" s="820"/>
      <c r="E13" s="821">
        <f>I36</f>
        <v>0</v>
      </c>
      <c r="F13" s="821"/>
      <c r="G13" s="821"/>
      <c r="H13" s="822"/>
      <c r="I13" s="822"/>
      <c r="J13" s="822"/>
      <c r="K13" s="178"/>
      <c r="N13" s="394"/>
      <c r="O13" s="394"/>
      <c r="P13" s="394"/>
      <c r="Q13" s="395"/>
      <c r="R13" s="213"/>
      <c r="S13" s="213"/>
      <c r="T13" s="213"/>
      <c r="U13" s="213"/>
      <c r="V13" s="213"/>
    </row>
    <row r="14" spans="1:22" ht="18.75" customHeight="1" x14ac:dyDescent="0.2">
      <c r="A14" s="828"/>
      <c r="B14" s="828"/>
      <c r="C14" s="829" t="s">
        <v>366</v>
      </c>
      <c r="D14" s="829"/>
      <c r="E14" s="830">
        <f>J36</f>
        <v>1</v>
      </c>
      <c r="F14" s="830"/>
      <c r="G14" s="830"/>
      <c r="H14" s="831"/>
      <c r="I14" s="831"/>
      <c r="J14" s="831"/>
      <c r="K14" s="179"/>
      <c r="N14" s="394"/>
      <c r="O14" s="394"/>
      <c r="P14" s="394"/>
      <c r="Q14" s="397"/>
      <c r="R14" s="214"/>
      <c r="S14" s="195"/>
      <c r="T14" s="195"/>
      <c r="U14" s="195"/>
      <c r="V14" s="195"/>
    </row>
    <row r="15" spans="1:22" ht="15" customHeight="1" x14ac:dyDescent="0.25">
      <c r="A15" s="843" t="s">
        <v>396</v>
      </c>
      <c r="B15" s="843"/>
      <c r="C15" s="833" t="s">
        <v>369</v>
      </c>
      <c r="D15" s="833"/>
      <c r="E15" s="832">
        <f>C36</f>
        <v>252</v>
      </c>
      <c r="F15" s="832"/>
      <c r="G15" s="832"/>
      <c r="H15" s="832"/>
      <c r="I15" s="832"/>
      <c r="J15" s="832"/>
      <c r="K15" s="180"/>
      <c r="N15" s="394"/>
      <c r="O15" s="394"/>
      <c r="P15" s="394"/>
      <c r="Q15" s="398"/>
      <c r="R15" s="208"/>
      <c r="S15" s="196"/>
      <c r="T15" s="197"/>
      <c r="U15" s="197"/>
      <c r="V15" s="198"/>
    </row>
    <row r="16" spans="1:22" ht="15" customHeight="1" x14ac:dyDescent="0.25">
      <c r="A16" s="843" t="s">
        <v>395</v>
      </c>
      <c r="B16" s="843"/>
      <c r="C16" s="833" t="s">
        <v>370</v>
      </c>
      <c r="D16" s="833"/>
      <c r="E16" s="834">
        <f>D36</f>
        <v>0.2638888888888889</v>
      </c>
      <c r="F16" s="835"/>
      <c r="G16" s="836"/>
      <c r="H16" s="837"/>
      <c r="I16" s="837"/>
      <c r="J16" s="837"/>
      <c r="K16" s="181"/>
      <c r="N16" s="394"/>
      <c r="O16" s="394"/>
      <c r="P16" s="394"/>
      <c r="Q16" s="398"/>
      <c r="R16" s="208"/>
      <c r="S16" s="196"/>
      <c r="T16" s="197"/>
      <c r="U16" s="197"/>
      <c r="V16" s="198"/>
    </row>
    <row r="17" spans="1:22" ht="18" customHeight="1" thickBot="1" x14ac:dyDescent="0.3">
      <c r="A17" s="838" t="s">
        <v>403</v>
      </c>
      <c r="B17" s="839"/>
      <c r="C17" s="840" t="s">
        <v>764</v>
      </c>
      <c r="D17" s="840"/>
      <c r="E17" s="841" t="s">
        <v>765</v>
      </c>
      <c r="F17" s="841"/>
      <c r="G17" s="841"/>
      <c r="H17" s="842"/>
      <c r="I17" s="842"/>
      <c r="J17" s="842"/>
      <c r="K17" s="182"/>
      <c r="N17" s="394"/>
      <c r="O17" s="394"/>
      <c r="P17" s="394"/>
      <c r="Q17" s="398"/>
      <c r="R17" s="208"/>
      <c r="S17" s="196"/>
      <c r="T17" s="197"/>
      <c r="U17" s="197"/>
      <c r="V17" s="198"/>
    </row>
    <row r="18" spans="1:22" s="187" customFormat="1" ht="20.100000000000001" customHeight="1" x14ac:dyDescent="0.25">
      <c r="A18" s="859" t="s">
        <v>367</v>
      </c>
      <c r="B18" s="860"/>
      <c r="C18" s="183" t="s">
        <v>397</v>
      </c>
      <c r="D18" s="183" t="s">
        <v>299</v>
      </c>
      <c r="E18" s="184"/>
      <c r="F18" s="184"/>
      <c r="G18" s="184"/>
      <c r="H18" s="184"/>
      <c r="I18" s="185" t="s">
        <v>371</v>
      </c>
      <c r="J18" s="184"/>
      <c r="K18" s="186" t="s">
        <v>368</v>
      </c>
      <c r="N18" s="399"/>
      <c r="O18" s="399"/>
      <c r="P18" s="399"/>
      <c r="Q18" s="398"/>
      <c r="R18" s="208"/>
      <c r="S18" s="196"/>
      <c r="T18" s="197"/>
      <c r="U18" s="197"/>
      <c r="V18" s="198"/>
    </row>
    <row r="19" spans="1:22" ht="12.75" customHeight="1" x14ac:dyDescent="0.25">
      <c r="A19" s="846" t="s">
        <v>373</v>
      </c>
      <c r="B19" s="847"/>
      <c r="C19" s="365">
        <v>42</v>
      </c>
      <c r="D19" s="366">
        <v>2.0833333333333333E-3</v>
      </c>
      <c r="F19" s="188"/>
      <c r="G19" s="188"/>
      <c r="H19" s="188" t="s">
        <v>372</v>
      </c>
      <c r="I19" s="188"/>
      <c r="J19" s="188"/>
      <c r="K19" s="369"/>
      <c r="N19" s="394"/>
      <c r="O19" s="394"/>
      <c r="P19" s="394"/>
      <c r="Q19" s="398"/>
      <c r="R19" s="208"/>
      <c r="S19" s="196"/>
      <c r="T19" s="197"/>
      <c r="U19" s="197"/>
      <c r="V19" s="198"/>
    </row>
    <row r="20" spans="1:22" ht="12.75" customHeight="1" x14ac:dyDescent="0.25">
      <c r="A20" s="846" t="s">
        <v>374</v>
      </c>
      <c r="B20" s="847"/>
      <c r="C20" s="365"/>
      <c r="D20" s="366">
        <v>8.3333333333333332E-3</v>
      </c>
      <c r="E20" s="188" t="s">
        <v>372</v>
      </c>
      <c r="F20" s="188"/>
      <c r="G20" s="188"/>
      <c r="H20" s="188"/>
      <c r="I20" s="188"/>
      <c r="J20" s="188"/>
      <c r="K20" s="369"/>
      <c r="Q20" s="208"/>
      <c r="R20" s="208"/>
      <c r="S20" s="196"/>
      <c r="T20" s="197"/>
      <c r="U20" s="197"/>
      <c r="V20" s="198"/>
    </row>
    <row r="21" spans="1:22" ht="12.75" customHeight="1" x14ac:dyDescent="0.25">
      <c r="A21" s="846" t="s">
        <v>375</v>
      </c>
      <c r="B21" s="847"/>
      <c r="C21" s="365"/>
      <c r="D21" s="366">
        <v>4.1666666666666664E-2</v>
      </c>
      <c r="E21" s="188" t="s">
        <v>372</v>
      </c>
      <c r="F21" s="188"/>
      <c r="G21" s="188"/>
      <c r="H21" s="191"/>
      <c r="I21" s="188"/>
      <c r="J21" s="188"/>
      <c r="K21" s="369"/>
      <c r="Q21" s="208"/>
      <c r="R21" s="208"/>
      <c r="S21" s="196"/>
      <c r="T21" s="197"/>
      <c r="U21" s="197"/>
      <c r="V21" s="198"/>
    </row>
    <row r="22" spans="1:22" ht="35.25" customHeight="1" x14ac:dyDescent="0.25">
      <c r="A22" s="844" t="s">
        <v>376</v>
      </c>
      <c r="B22" s="845"/>
      <c r="C22" s="365"/>
      <c r="D22" s="366">
        <v>3.4722222222222224E-2</v>
      </c>
      <c r="E22" s="188" t="s">
        <v>372</v>
      </c>
      <c r="F22" s="188"/>
      <c r="G22" s="188"/>
      <c r="H22" s="191"/>
      <c r="I22" s="188"/>
      <c r="J22" s="188"/>
      <c r="K22" s="370" t="s">
        <v>387</v>
      </c>
      <c r="Q22" s="208"/>
      <c r="R22" s="208"/>
      <c r="S22" s="196"/>
      <c r="T22" s="197"/>
      <c r="U22" s="197"/>
      <c r="V22" s="198"/>
    </row>
    <row r="23" spans="1:22" ht="12.75" customHeight="1" x14ac:dyDescent="0.25">
      <c r="A23" s="846" t="s">
        <v>377</v>
      </c>
      <c r="B23" s="847"/>
      <c r="C23" s="365"/>
      <c r="D23" s="366">
        <v>1.3888888888888888E-2</v>
      </c>
      <c r="E23" s="188" t="s">
        <v>372</v>
      </c>
      <c r="F23" s="188"/>
      <c r="G23" s="188"/>
      <c r="H23" s="188"/>
      <c r="I23" s="188"/>
      <c r="J23" s="188"/>
      <c r="K23" s="369"/>
      <c r="Q23" s="208"/>
      <c r="R23" s="208"/>
      <c r="S23" s="196"/>
      <c r="T23" s="197"/>
      <c r="U23" s="197"/>
      <c r="V23" s="198"/>
    </row>
    <row r="24" spans="1:22" ht="24.75" customHeight="1" x14ac:dyDescent="0.25">
      <c r="A24" s="844" t="s">
        <v>386</v>
      </c>
      <c r="B24" s="845"/>
      <c r="C24" s="365"/>
      <c r="D24" s="366">
        <v>3.472222222222222E-3</v>
      </c>
      <c r="F24" s="188" t="s">
        <v>372</v>
      </c>
      <c r="H24" s="188"/>
      <c r="I24" s="188"/>
      <c r="J24" s="188"/>
      <c r="K24" s="370" t="s">
        <v>393</v>
      </c>
      <c r="Q24" s="208"/>
      <c r="R24" s="208"/>
      <c r="S24" s="196"/>
      <c r="T24" s="197"/>
      <c r="U24" s="197"/>
      <c r="V24" s="198"/>
    </row>
    <row r="25" spans="1:22" ht="12.75" customHeight="1" x14ac:dyDescent="0.25">
      <c r="A25" s="857" t="s">
        <v>378</v>
      </c>
      <c r="B25" s="858"/>
      <c r="C25" s="365">
        <v>84</v>
      </c>
      <c r="D25" s="366">
        <v>4.1666666666666666E-3</v>
      </c>
      <c r="E25" s="188"/>
      <c r="F25" s="188"/>
      <c r="G25" s="188"/>
      <c r="H25" s="188" t="s">
        <v>372</v>
      </c>
      <c r="J25" s="188"/>
      <c r="K25" s="371"/>
      <c r="Q25" s="208"/>
      <c r="R25" s="208"/>
      <c r="S25" s="196"/>
      <c r="T25" s="197"/>
      <c r="U25" s="197"/>
      <c r="V25" s="198"/>
    </row>
    <row r="26" spans="1:22" ht="12.75" customHeight="1" x14ac:dyDescent="0.25">
      <c r="A26" s="846" t="s">
        <v>394</v>
      </c>
      <c r="B26" s="847"/>
      <c r="C26" s="365"/>
      <c r="D26" s="366">
        <v>6.25E-2</v>
      </c>
      <c r="E26" s="188" t="s">
        <v>372</v>
      </c>
      <c r="F26" s="188"/>
      <c r="G26" s="188"/>
      <c r="I26" s="188"/>
      <c r="J26" s="188"/>
      <c r="K26" s="369" t="s">
        <v>404</v>
      </c>
      <c r="Q26" s="208"/>
      <c r="R26" s="208"/>
      <c r="S26" s="193"/>
      <c r="T26" s="197"/>
      <c r="U26" s="197"/>
      <c r="V26" s="193"/>
    </row>
    <row r="27" spans="1:22" ht="12.75" customHeight="1" x14ac:dyDescent="0.25">
      <c r="A27" s="846" t="s">
        <v>379</v>
      </c>
      <c r="B27" s="847"/>
      <c r="C27" s="365"/>
      <c r="D27" s="366">
        <v>2.7777777777777776E-2</v>
      </c>
      <c r="E27" s="188" t="s">
        <v>372</v>
      </c>
      <c r="F27" s="188"/>
      <c r="G27" s="188"/>
      <c r="H27" s="188"/>
      <c r="I27" s="188"/>
      <c r="J27" s="188"/>
      <c r="K27" s="369" t="s">
        <v>405</v>
      </c>
      <c r="Q27" s="208"/>
      <c r="R27" s="208"/>
      <c r="S27" s="198"/>
      <c r="T27" s="197"/>
      <c r="U27" s="197"/>
      <c r="V27" s="198"/>
    </row>
    <row r="28" spans="1:22" ht="12.75" customHeight="1" x14ac:dyDescent="0.25">
      <c r="A28" s="846" t="s">
        <v>380</v>
      </c>
      <c r="B28" s="847"/>
      <c r="C28" s="365"/>
      <c r="D28" s="366">
        <v>3.472222222222222E-3</v>
      </c>
      <c r="F28" s="188" t="s">
        <v>372</v>
      </c>
      <c r="G28" s="188"/>
      <c r="H28" s="188"/>
      <c r="I28" s="188"/>
      <c r="J28" s="188"/>
      <c r="K28" s="369" t="s">
        <v>389</v>
      </c>
      <c r="Q28" s="208"/>
      <c r="R28" s="208"/>
      <c r="S28" s="193"/>
      <c r="T28" s="197"/>
      <c r="U28" s="197"/>
      <c r="V28" s="198"/>
    </row>
    <row r="29" spans="1:22" ht="12.75" customHeight="1" x14ac:dyDescent="0.25">
      <c r="A29" s="857" t="s">
        <v>381</v>
      </c>
      <c r="B29" s="858"/>
      <c r="C29" s="365">
        <v>42</v>
      </c>
      <c r="D29" s="366">
        <v>2.0833333333333333E-3</v>
      </c>
      <c r="E29" s="188"/>
      <c r="F29" s="191"/>
      <c r="G29" s="188"/>
      <c r="H29" s="188" t="s">
        <v>372</v>
      </c>
      <c r="I29" s="188"/>
      <c r="J29" s="188"/>
      <c r="K29" s="371"/>
      <c r="Q29" s="208"/>
      <c r="R29" s="208"/>
      <c r="S29" s="193"/>
      <c r="T29" s="197"/>
      <c r="U29" s="197"/>
      <c r="V29" s="198"/>
    </row>
    <row r="30" spans="1:22" ht="22.5" customHeight="1" x14ac:dyDescent="0.25">
      <c r="A30" s="844" t="s">
        <v>382</v>
      </c>
      <c r="B30" s="845"/>
      <c r="C30" s="365"/>
      <c r="D30" s="366">
        <v>2.0833333333333332E-2</v>
      </c>
      <c r="E30" s="188" t="s">
        <v>372</v>
      </c>
      <c r="F30" s="191"/>
      <c r="G30" s="188"/>
      <c r="H30" s="188"/>
      <c r="I30" s="188"/>
      <c r="J30" s="188"/>
      <c r="K30" s="372" t="s">
        <v>390</v>
      </c>
      <c r="Q30" s="208"/>
      <c r="R30" s="208"/>
      <c r="S30" s="193"/>
      <c r="T30" s="197"/>
      <c r="U30" s="197"/>
      <c r="V30" s="198"/>
    </row>
    <row r="31" spans="1:22" ht="12.75" customHeight="1" x14ac:dyDescent="0.25">
      <c r="A31" s="857" t="s">
        <v>383</v>
      </c>
      <c r="B31" s="858"/>
      <c r="C31" s="365"/>
      <c r="D31" s="366">
        <v>2.0833333333333332E-2</v>
      </c>
      <c r="E31" s="188" t="s">
        <v>372</v>
      </c>
      <c r="F31" s="188"/>
      <c r="G31" s="188"/>
      <c r="H31" s="188"/>
      <c r="I31" s="188"/>
      <c r="J31" s="188"/>
      <c r="K31" s="373"/>
      <c r="Q31" s="209"/>
      <c r="R31" s="212"/>
      <c r="S31" s="198"/>
      <c r="T31" s="199"/>
      <c r="U31" s="199"/>
      <c r="V31" s="198"/>
    </row>
    <row r="32" spans="1:22" ht="12.75" customHeight="1" x14ac:dyDescent="0.25">
      <c r="A32" s="846" t="s">
        <v>384</v>
      </c>
      <c r="B32" s="847"/>
      <c r="C32" s="365"/>
      <c r="D32" s="366">
        <v>3.472222222222222E-3</v>
      </c>
      <c r="F32" s="188" t="s">
        <v>372</v>
      </c>
      <c r="G32" s="188"/>
      <c r="H32" s="188"/>
      <c r="I32" s="188"/>
      <c r="J32" s="188"/>
      <c r="K32" s="369" t="s">
        <v>388</v>
      </c>
      <c r="Q32" s="193"/>
      <c r="R32" s="193"/>
      <c r="S32" s="193"/>
      <c r="T32" s="193"/>
      <c r="U32" s="198"/>
      <c r="V32" s="198"/>
    </row>
    <row r="33" spans="1:22" ht="12.75" customHeight="1" x14ac:dyDescent="0.25">
      <c r="A33" s="846" t="s">
        <v>385</v>
      </c>
      <c r="B33" s="847"/>
      <c r="C33" s="365">
        <v>84</v>
      </c>
      <c r="D33" s="366">
        <v>4.1666666666666666E-3</v>
      </c>
      <c r="E33" s="188"/>
      <c r="F33" s="188"/>
      <c r="G33" s="188"/>
      <c r="H33" s="188" t="s">
        <v>372</v>
      </c>
      <c r="I33" s="188"/>
      <c r="J33" s="188"/>
      <c r="K33" s="373"/>
      <c r="Q33" s="209"/>
      <c r="R33" s="209"/>
      <c r="S33" s="200"/>
      <c r="T33" s="200"/>
      <c r="U33" s="198"/>
      <c r="V33" s="198"/>
    </row>
    <row r="34" spans="1:22" ht="12.75" customHeight="1" x14ac:dyDescent="0.25">
      <c r="A34" s="846" t="s">
        <v>392</v>
      </c>
      <c r="B34" s="847"/>
      <c r="C34" s="365"/>
      <c r="D34" s="366">
        <v>1.0416666666666666E-2</v>
      </c>
      <c r="E34" s="188"/>
      <c r="F34" s="188"/>
      <c r="G34" s="188"/>
      <c r="H34" s="188"/>
      <c r="I34" s="188"/>
      <c r="J34" s="188" t="s">
        <v>372</v>
      </c>
      <c r="K34" s="369" t="s">
        <v>391</v>
      </c>
      <c r="Q34" s="207"/>
      <c r="R34" s="207"/>
      <c r="S34" s="201"/>
      <c r="T34" s="202"/>
      <c r="U34" s="193"/>
      <c r="V34" s="193"/>
    </row>
    <row r="35" spans="1:22" ht="13.5" customHeight="1" thickBot="1" x14ac:dyDescent="0.3">
      <c r="A35" s="863"/>
      <c r="B35" s="864"/>
      <c r="C35" s="367"/>
      <c r="D35" s="368"/>
      <c r="E35" s="192"/>
      <c r="F35" s="192"/>
      <c r="G35" s="192"/>
      <c r="H35" s="192"/>
      <c r="I35" s="192"/>
      <c r="J35" s="192"/>
      <c r="K35" s="374"/>
      <c r="Q35" s="207"/>
      <c r="R35" s="207"/>
      <c r="S35" s="203"/>
      <c r="T35" s="204"/>
      <c r="U35" s="193"/>
      <c r="V35" s="193"/>
    </row>
    <row r="36" spans="1:22" ht="13.8" thickBot="1" x14ac:dyDescent="0.3">
      <c r="A36" s="861" t="s">
        <v>22</v>
      </c>
      <c r="B36" s="862"/>
      <c r="C36" s="376">
        <f>SUM(C19:C35)</f>
        <v>252</v>
      </c>
      <c r="D36" s="375">
        <f>SUM(D19:D35)</f>
        <v>0.2638888888888889</v>
      </c>
      <c r="E36" s="189">
        <f t="shared" ref="E36:J36" si="0">COUNTIF(E19:E35,"*")</f>
        <v>8</v>
      </c>
      <c r="F36" s="189">
        <f t="shared" si="0"/>
        <v>3</v>
      </c>
      <c r="G36" s="189">
        <f t="shared" si="0"/>
        <v>0</v>
      </c>
      <c r="H36" s="189">
        <f>COUNTIF(H19:H35,"*")</f>
        <v>4</v>
      </c>
      <c r="I36" s="189">
        <f t="shared" si="0"/>
        <v>0</v>
      </c>
      <c r="J36" s="189">
        <f t="shared" si="0"/>
        <v>1</v>
      </c>
      <c r="K36" s="190"/>
      <c r="Q36" s="207"/>
      <c r="R36" s="212"/>
      <c r="S36" s="203"/>
      <c r="T36" s="204"/>
      <c r="U36" s="193"/>
      <c r="V36" s="193"/>
    </row>
    <row r="37" spans="1:22" ht="14.25" customHeight="1" x14ac:dyDescent="0.25">
      <c r="A37" s="848" t="s">
        <v>400</v>
      </c>
      <c r="B37" s="850"/>
      <c r="C37" s="848" t="s">
        <v>401</v>
      </c>
      <c r="D37" s="849"/>
      <c r="E37" s="849"/>
      <c r="F37" s="849"/>
      <c r="G37" s="849"/>
      <c r="H37" s="850"/>
      <c r="I37" s="848" t="s">
        <v>402</v>
      </c>
      <c r="J37" s="849"/>
      <c r="K37" s="850"/>
      <c r="Q37" s="207"/>
      <c r="R37" s="207"/>
      <c r="S37" s="203"/>
      <c r="T37" s="204"/>
      <c r="U37" s="193"/>
      <c r="V37" s="193"/>
    </row>
    <row r="38" spans="1:22" ht="16.5" customHeight="1" x14ac:dyDescent="0.25">
      <c r="A38" s="851"/>
      <c r="B38" s="853"/>
      <c r="C38" s="851"/>
      <c r="D38" s="852"/>
      <c r="E38" s="852"/>
      <c r="F38" s="852"/>
      <c r="G38" s="852"/>
      <c r="H38" s="853"/>
      <c r="I38" s="851"/>
      <c r="J38" s="852"/>
      <c r="K38" s="853"/>
      <c r="Q38" s="215"/>
      <c r="R38" s="215"/>
      <c r="S38" s="198"/>
      <c r="T38" s="205"/>
      <c r="U38" s="193"/>
      <c r="V38" s="193"/>
    </row>
    <row r="39" spans="1:22" ht="15" customHeight="1" thickBot="1" x14ac:dyDescent="0.25">
      <c r="A39" s="854"/>
      <c r="B39" s="856"/>
      <c r="C39" s="854"/>
      <c r="D39" s="855"/>
      <c r="E39" s="855"/>
      <c r="F39" s="855"/>
      <c r="G39" s="855"/>
      <c r="H39" s="856"/>
      <c r="I39" s="854"/>
      <c r="J39" s="855"/>
      <c r="K39" s="856"/>
      <c r="Q39" s="193"/>
      <c r="R39" s="193"/>
      <c r="S39" s="193"/>
      <c r="T39" s="193"/>
      <c r="U39" s="193"/>
      <c r="V39" s="193"/>
    </row>
  </sheetData>
  <mergeCells count="66">
    <mergeCell ref="A18:B18"/>
    <mergeCell ref="C15:D15"/>
    <mergeCell ref="E15:G15"/>
    <mergeCell ref="I37:K39"/>
    <mergeCell ref="A28:B28"/>
    <mergeCell ref="A29:B29"/>
    <mergeCell ref="A30:B30"/>
    <mergeCell ref="A31:B31"/>
    <mergeCell ref="A32:B32"/>
    <mergeCell ref="A33:B33"/>
    <mergeCell ref="A36:B36"/>
    <mergeCell ref="A34:B34"/>
    <mergeCell ref="A35:B35"/>
    <mergeCell ref="A19:B19"/>
    <mergeCell ref="A20:B20"/>
    <mergeCell ref="A21:B21"/>
    <mergeCell ref="A22:B22"/>
    <mergeCell ref="A23:B23"/>
    <mergeCell ref="C37:H39"/>
    <mergeCell ref="A37:B39"/>
    <mergeCell ref="A25:B25"/>
    <mergeCell ref="A26:B26"/>
    <mergeCell ref="A27:B27"/>
    <mergeCell ref="A24:B24"/>
    <mergeCell ref="H15:J15"/>
    <mergeCell ref="C16:D16"/>
    <mergeCell ref="E16:G16"/>
    <mergeCell ref="H16:J16"/>
    <mergeCell ref="A17:B17"/>
    <mergeCell ref="C17:D17"/>
    <mergeCell ref="E17:G17"/>
    <mergeCell ref="H17:J17"/>
    <mergeCell ref="A15:B15"/>
    <mergeCell ref="A16:B16"/>
    <mergeCell ref="A13:B14"/>
    <mergeCell ref="C13:D13"/>
    <mergeCell ref="E13:G13"/>
    <mergeCell ref="H13:J13"/>
    <mergeCell ref="C14:D14"/>
    <mergeCell ref="E14:G14"/>
    <mergeCell ref="H14:J14"/>
    <mergeCell ref="A11:B12"/>
    <mergeCell ref="C11:D11"/>
    <mergeCell ref="E11:G11"/>
    <mergeCell ref="H11:J11"/>
    <mergeCell ref="C12:D12"/>
    <mergeCell ref="E12:G12"/>
    <mergeCell ref="H12:J12"/>
    <mergeCell ref="A6:B6"/>
    <mergeCell ref="C7:K7"/>
    <mergeCell ref="A8:B10"/>
    <mergeCell ref="C8:D8"/>
    <mergeCell ref="E8:G8"/>
    <mergeCell ref="H8:J8"/>
    <mergeCell ref="C9:D9"/>
    <mergeCell ref="E9:G9"/>
    <mergeCell ref="H9:J9"/>
    <mergeCell ref="C10:D10"/>
    <mergeCell ref="E10:G10"/>
    <mergeCell ref="H10:J10"/>
    <mergeCell ref="C6:J6"/>
    <mergeCell ref="K2:K3"/>
    <mergeCell ref="K4:K5"/>
    <mergeCell ref="A2:F5"/>
    <mergeCell ref="G2:J3"/>
    <mergeCell ref="G4:J5"/>
  </mergeCells>
  <pageMargins left="0.44" right="0.27" top="1.51" bottom="0.56000000000000005" header="0" footer="0"/>
  <pageSetup paperSize="9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33AC3-3B12-4D85-9E9C-B2B6F02523F3}">
  <dimension ref="A1:Q115"/>
  <sheetViews>
    <sheetView showGridLines="0" workbookViewId="0">
      <selection activeCell="D6" sqref="D6:F6"/>
    </sheetView>
  </sheetViews>
  <sheetFormatPr baseColWidth="10" defaultRowHeight="13.8" x14ac:dyDescent="0.25"/>
  <cols>
    <col min="3" max="3" width="11.3984375" customWidth="1"/>
    <col min="6" max="6" width="17" customWidth="1"/>
    <col min="7" max="7" width="24.19921875" customWidth="1"/>
    <col min="8" max="9" width="6.59765625" customWidth="1"/>
    <col min="11" max="11" width="14.19921875" customWidth="1"/>
    <col min="12" max="12" width="12.59765625" customWidth="1"/>
  </cols>
  <sheetData>
    <row r="1" spans="1:17" ht="14.4" thickBot="1" x14ac:dyDescent="0.3"/>
    <row r="2" spans="1:17" ht="14.4" thickBot="1" x14ac:dyDescent="0.3">
      <c r="A2" s="902"/>
      <c r="B2" s="903"/>
      <c r="C2" s="903"/>
      <c r="D2" s="903"/>
      <c r="E2" s="903"/>
      <c r="F2" s="903"/>
      <c r="G2" s="898" t="s">
        <v>414</v>
      </c>
      <c r="H2" s="899"/>
      <c r="I2" s="899"/>
      <c r="J2" s="899"/>
      <c r="K2" s="899"/>
      <c r="L2" s="900"/>
    </row>
    <row r="3" spans="1:17" x14ac:dyDescent="0.25">
      <c r="A3" s="904"/>
      <c r="B3" s="905"/>
      <c r="C3" s="905"/>
      <c r="D3" s="905"/>
      <c r="E3" s="905"/>
      <c r="F3" s="905"/>
      <c r="G3" s="940" t="s">
        <v>419</v>
      </c>
      <c r="H3" s="941"/>
      <c r="I3" s="942"/>
      <c r="J3" s="940" t="s">
        <v>420</v>
      </c>
      <c r="K3" s="941"/>
      <c r="L3" s="942"/>
    </row>
    <row r="4" spans="1:17" x14ac:dyDescent="0.25">
      <c r="A4" s="904"/>
      <c r="B4" s="905"/>
      <c r="C4" s="905"/>
      <c r="D4" s="905"/>
      <c r="E4" s="905"/>
      <c r="F4" s="905"/>
      <c r="G4" s="943" t="s">
        <v>478</v>
      </c>
      <c r="H4" s="944"/>
      <c r="I4" s="945"/>
      <c r="J4" s="943" t="s">
        <v>421</v>
      </c>
      <c r="K4" s="944"/>
      <c r="L4" s="945"/>
    </row>
    <row r="5" spans="1:17" ht="14.4" thickBot="1" x14ac:dyDescent="0.3">
      <c r="A5" s="906"/>
      <c r="B5" s="907"/>
      <c r="C5" s="907"/>
      <c r="D5" s="907"/>
      <c r="E5" s="907"/>
      <c r="F5" s="907"/>
      <c r="G5" s="946" t="s">
        <v>479</v>
      </c>
      <c r="H5" s="947"/>
      <c r="I5" s="948"/>
      <c r="J5" s="946" t="s">
        <v>422</v>
      </c>
      <c r="K5" s="947"/>
      <c r="L5" s="948"/>
    </row>
    <row r="6" spans="1:17" ht="14.4" thickBot="1" x14ac:dyDescent="0.3">
      <c r="A6" s="908" t="s">
        <v>411</v>
      </c>
      <c r="B6" s="909"/>
      <c r="C6" s="910"/>
      <c r="D6" s="908" t="s">
        <v>423</v>
      </c>
      <c r="E6" s="909"/>
      <c r="F6" s="910"/>
      <c r="G6" s="233" t="s">
        <v>368</v>
      </c>
      <c r="H6" s="227" t="s">
        <v>474</v>
      </c>
      <c r="I6" s="234" t="s">
        <v>475</v>
      </c>
      <c r="J6" s="231" t="s">
        <v>477</v>
      </c>
      <c r="K6" s="233" t="s">
        <v>412</v>
      </c>
      <c r="L6" s="232" t="s">
        <v>413</v>
      </c>
      <c r="N6" s="217"/>
      <c r="O6" s="217"/>
      <c r="P6" s="217"/>
      <c r="Q6" s="217"/>
    </row>
    <row r="7" spans="1:17" ht="14.25" customHeight="1" x14ac:dyDescent="0.25">
      <c r="A7" s="911" t="s">
        <v>274</v>
      </c>
      <c r="B7" s="912"/>
      <c r="C7" s="913"/>
      <c r="D7" s="872" t="s">
        <v>424</v>
      </c>
      <c r="E7" s="873"/>
      <c r="F7" s="884"/>
      <c r="G7" s="228"/>
      <c r="H7" s="228"/>
      <c r="I7" s="224"/>
      <c r="J7" s="228"/>
      <c r="K7" s="949" t="s">
        <v>467</v>
      </c>
      <c r="L7" s="892"/>
      <c r="Q7" s="217"/>
    </row>
    <row r="8" spans="1:17" ht="14.25" customHeight="1" thickBot="1" x14ac:dyDescent="0.3">
      <c r="A8" s="914"/>
      <c r="B8" s="915"/>
      <c r="C8" s="916"/>
      <c r="D8" s="881" t="s">
        <v>425</v>
      </c>
      <c r="E8" s="882"/>
      <c r="F8" s="883"/>
      <c r="G8" s="229"/>
      <c r="H8" s="229"/>
      <c r="I8" s="225"/>
      <c r="J8" s="229"/>
      <c r="K8" s="950"/>
      <c r="L8" s="894"/>
      <c r="N8" s="218"/>
      <c r="O8" s="219"/>
      <c r="P8" s="219"/>
      <c r="Q8" s="217"/>
    </row>
    <row r="9" spans="1:17" ht="14.25" customHeight="1" x14ac:dyDescent="0.25">
      <c r="A9" s="911" t="s">
        <v>415</v>
      </c>
      <c r="B9" s="912"/>
      <c r="C9" s="912"/>
      <c r="D9" s="872" t="s">
        <v>485</v>
      </c>
      <c r="E9" s="873"/>
      <c r="F9" s="874"/>
      <c r="G9" s="224"/>
      <c r="H9" s="228"/>
      <c r="I9" s="228"/>
      <c r="J9" s="236"/>
      <c r="K9" s="951" t="s">
        <v>469</v>
      </c>
      <c r="L9" s="878"/>
      <c r="N9" s="218"/>
      <c r="O9" s="219"/>
      <c r="P9" s="219"/>
      <c r="Q9" s="221"/>
    </row>
    <row r="10" spans="1:17" ht="14.25" customHeight="1" x14ac:dyDescent="0.25">
      <c r="A10" s="938"/>
      <c r="B10" s="939"/>
      <c r="C10" s="939"/>
      <c r="D10" s="885" t="s">
        <v>426</v>
      </c>
      <c r="E10" s="886"/>
      <c r="F10" s="888"/>
      <c r="G10" s="226"/>
      <c r="H10" s="230"/>
      <c r="I10" s="230"/>
      <c r="J10" s="235"/>
      <c r="K10" s="952"/>
      <c r="L10" s="879"/>
      <c r="N10" s="218"/>
      <c r="O10" s="219"/>
      <c r="P10" s="219"/>
      <c r="Q10" s="217"/>
    </row>
    <row r="11" spans="1:17" ht="14.25" customHeight="1" x14ac:dyDescent="0.25">
      <c r="A11" s="938"/>
      <c r="B11" s="939"/>
      <c r="C11" s="939"/>
      <c r="D11" s="885" t="s">
        <v>427</v>
      </c>
      <c r="E11" s="886"/>
      <c r="F11" s="888"/>
      <c r="G11" s="226"/>
      <c r="H11" s="230"/>
      <c r="I11" s="230"/>
      <c r="J11" s="235"/>
      <c r="K11" s="952"/>
      <c r="L11" s="879"/>
      <c r="N11" s="218"/>
      <c r="O11" s="219"/>
      <c r="P11" s="219"/>
      <c r="Q11" s="217"/>
    </row>
    <row r="12" spans="1:17" ht="14.25" customHeight="1" x14ac:dyDescent="0.25">
      <c r="A12" s="938"/>
      <c r="B12" s="939"/>
      <c r="C12" s="939"/>
      <c r="D12" s="885" t="s">
        <v>429</v>
      </c>
      <c r="E12" s="886"/>
      <c r="F12" s="888"/>
      <c r="G12" s="241"/>
      <c r="H12" s="242"/>
      <c r="I12" s="242"/>
      <c r="J12" s="235"/>
      <c r="K12" s="953"/>
      <c r="L12" s="896"/>
      <c r="N12" s="218"/>
      <c r="O12" s="219"/>
      <c r="P12" s="219"/>
      <c r="Q12" s="217"/>
    </row>
    <row r="13" spans="1:17" ht="14.25" customHeight="1" x14ac:dyDescent="0.25">
      <c r="A13" s="938"/>
      <c r="B13" s="939"/>
      <c r="C13" s="939"/>
      <c r="D13" s="885" t="s">
        <v>428</v>
      </c>
      <c r="E13" s="886"/>
      <c r="F13" s="888"/>
      <c r="G13" s="226"/>
      <c r="H13" s="230"/>
      <c r="I13" s="230"/>
      <c r="J13" s="235"/>
      <c r="K13" s="868" t="s">
        <v>470</v>
      </c>
      <c r="L13" s="239"/>
      <c r="N13" s="218"/>
      <c r="O13" s="219"/>
      <c r="P13" s="219"/>
      <c r="Q13" s="217"/>
    </row>
    <row r="14" spans="1:17" ht="14.25" customHeight="1" x14ac:dyDescent="0.25">
      <c r="A14" s="938"/>
      <c r="B14" s="939"/>
      <c r="C14" s="939"/>
      <c r="D14" s="926" t="s">
        <v>430</v>
      </c>
      <c r="E14" s="927"/>
      <c r="F14" s="928"/>
      <c r="G14" s="240"/>
      <c r="H14" s="239"/>
      <c r="I14" s="239"/>
      <c r="J14" s="238"/>
      <c r="K14" s="869"/>
      <c r="L14" s="390"/>
      <c r="N14" s="218"/>
      <c r="O14" s="219"/>
      <c r="P14" s="219"/>
      <c r="Q14" s="221"/>
    </row>
    <row r="15" spans="1:17" ht="14.25" customHeight="1" thickBot="1" x14ac:dyDescent="0.3">
      <c r="A15" s="914"/>
      <c r="B15" s="915"/>
      <c r="C15" s="915"/>
      <c r="D15" s="865" t="s">
        <v>792</v>
      </c>
      <c r="E15" s="866"/>
      <c r="F15" s="867"/>
      <c r="G15" s="225"/>
      <c r="H15" s="229"/>
      <c r="I15" s="229"/>
      <c r="J15" s="237"/>
      <c r="K15" s="391" t="s">
        <v>469</v>
      </c>
      <c r="L15" s="229"/>
      <c r="N15" s="218"/>
      <c r="O15" s="219"/>
      <c r="P15" s="219"/>
      <c r="Q15" s="217"/>
    </row>
    <row r="16" spans="1:17" ht="14.25" customHeight="1" x14ac:dyDescent="0.25">
      <c r="A16" s="911" t="s">
        <v>431</v>
      </c>
      <c r="B16" s="912"/>
      <c r="C16" s="913"/>
      <c r="D16" s="872" t="s">
        <v>485</v>
      </c>
      <c r="E16" s="873"/>
      <c r="F16" s="884"/>
      <c r="G16" s="228"/>
      <c r="H16" s="228"/>
      <c r="I16" s="224"/>
      <c r="J16" s="228"/>
      <c r="K16" s="870" t="s">
        <v>469</v>
      </c>
      <c r="L16" s="878"/>
      <c r="N16" s="218"/>
      <c r="O16" s="219"/>
      <c r="P16" s="219"/>
      <c r="Q16" s="221"/>
    </row>
    <row r="17" spans="1:17" ht="14.25" customHeight="1" x14ac:dyDescent="0.25">
      <c r="A17" s="938"/>
      <c r="B17" s="939"/>
      <c r="C17" s="954"/>
      <c r="D17" s="885" t="s">
        <v>877</v>
      </c>
      <c r="E17" s="886"/>
      <c r="F17" s="887"/>
      <c r="G17" s="230"/>
      <c r="H17" s="230"/>
      <c r="I17" s="226"/>
      <c r="J17" s="230"/>
      <c r="K17" s="895"/>
      <c r="L17" s="896"/>
      <c r="N17" s="218"/>
      <c r="O17" s="219"/>
      <c r="P17" s="219"/>
      <c r="Q17" s="217"/>
    </row>
    <row r="18" spans="1:17" ht="14.25" customHeight="1" x14ac:dyDescent="0.25">
      <c r="A18" s="938"/>
      <c r="B18" s="939"/>
      <c r="C18" s="954"/>
      <c r="D18" s="885" t="s">
        <v>432</v>
      </c>
      <c r="E18" s="886"/>
      <c r="F18" s="887"/>
      <c r="G18" s="230"/>
      <c r="H18" s="230"/>
      <c r="I18" s="226"/>
      <c r="J18" s="230"/>
      <c r="K18" s="868" t="s">
        <v>470</v>
      </c>
      <c r="L18" s="897"/>
      <c r="N18" s="218"/>
      <c r="O18" s="219"/>
      <c r="P18" s="219"/>
      <c r="Q18" s="217"/>
    </row>
    <row r="19" spans="1:17" ht="14.25" customHeight="1" x14ac:dyDescent="0.25">
      <c r="A19" s="938"/>
      <c r="B19" s="939"/>
      <c r="C19" s="954"/>
      <c r="D19" s="885" t="s">
        <v>433</v>
      </c>
      <c r="E19" s="886"/>
      <c r="F19" s="887"/>
      <c r="G19" s="230"/>
      <c r="H19" s="230"/>
      <c r="I19" s="226"/>
      <c r="J19" s="230"/>
      <c r="K19" s="869"/>
      <c r="L19" s="879"/>
      <c r="N19" s="218"/>
      <c r="O19" s="219"/>
      <c r="P19" s="219"/>
      <c r="Q19" s="217"/>
    </row>
    <row r="20" spans="1:17" ht="14.25" customHeight="1" x14ac:dyDescent="0.25">
      <c r="A20" s="938"/>
      <c r="B20" s="939"/>
      <c r="C20" s="954"/>
      <c r="D20" s="885" t="s">
        <v>483</v>
      </c>
      <c r="E20" s="886"/>
      <c r="F20" s="887"/>
      <c r="G20" s="230"/>
      <c r="H20" s="230"/>
      <c r="I20" s="226"/>
      <c r="J20" s="230"/>
      <c r="K20" s="869"/>
      <c r="L20" s="879"/>
      <c r="N20" s="218"/>
      <c r="O20" s="219"/>
      <c r="P20" s="219"/>
      <c r="Q20" s="221"/>
    </row>
    <row r="21" spans="1:17" ht="14.25" customHeight="1" thickBot="1" x14ac:dyDescent="0.3">
      <c r="A21" s="914"/>
      <c r="B21" s="915"/>
      <c r="C21" s="916"/>
      <c r="D21" s="881" t="s">
        <v>484</v>
      </c>
      <c r="E21" s="882"/>
      <c r="F21" s="883"/>
      <c r="G21" s="229"/>
      <c r="H21" s="229"/>
      <c r="I21" s="225"/>
      <c r="J21" s="229"/>
      <c r="K21" s="871"/>
      <c r="L21" s="880"/>
      <c r="N21" s="218"/>
      <c r="O21" s="219"/>
      <c r="P21" s="219"/>
      <c r="Q21" s="217"/>
    </row>
    <row r="22" spans="1:17" ht="14.25" customHeight="1" x14ac:dyDescent="0.25">
      <c r="A22" s="929" t="s">
        <v>416</v>
      </c>
      <c r="B22" s="930"/>
      <c r="C22" s="931"/>
      <c r="D22" s="872" t="s">
        <v>485</v>
      </c>
      <c r="E22" s="873"/>
      <c r="F22" s="884"/>
      <c r="G22" s="228"/>
      <c r="H22" s="228"/>
      <c r="I22" s="224"/>
      <c r="J22" s="228"/>
      <c r="K22" s="870" t="s">
        <v>471</v>
      </c>
      <c r="L22" s="878"/>
      <c r="N22" s="218"/>
      <c r="O22" s="219"/>
      <c r="P22" s="219"/>
      <c r="Q22" s="221"/>
    </row>
    <row r="23" spans="1:17" ht="14.25" customHeight="1" x14ac:dyDescent="0.25">
      <c r="A23" s="932"/>
      <c r="B23" s="933"/>
      <c r="C23" s="934"/>
      <c r="D23" s="885" t="s">
        <v>434</v>
      </c>
      <c r="E23" s="886"/>
      <c r="F23" s="887"/>
      <c r="G23" s="230"/>
      <c r="H23" s="230"/>
      <c r="I23" s="226"/>
      <c r="J23" s="230"/>
      <c r="K23" s="869"/>
      <c r="L23" s="879"/>
      <c r="N23" s="220"/>
      <c r="O23" s="221"/>
      <c r="P23" s="221"/>
      <c r="Q23" s="217"/>
    </row>
    <row r="24" spans="1:17" ht="14.25" customHeight="1" thickBot="1" x14ac:dyDescent="0.3">
      <c r="A24" s="935"/>
      <c r="B24" s="936"/>
      <c r="C24" s="937"/>
      <c r="D24" s="881" t="s">
        <v>435</v>
      </c>
      <c r="E24" s="882"/>
      <c r="F24" s="883"/>
      <c r="G24" s="229"/>
      <c r="H24" s="229"/>
      <c r="I24" s="225"/>
      <c r="J24" s="229"/>
      <c r="K24" s="871"/>
      <c r="L24" s="880"/>
    </row>
    <row r="25" spans="1:17" ht="14.25" customHeight="1" x14ac:dyDescent="0.25">
      <c r="A25" s="929" t="s">
        <v>436</v>
      </c>
      <c r="B25" s="930"/>
      <c r="C25" s="931"/>
      <c r="D25" s="872" t="s">
        <v>485</v>
      </c>
      <c r="E25" s="873"/>
      <c r="F25" s="884"/>
      <c r="G25" s="228"/>
      <c r="H25" s="228"/>
      <c r="I25" s="224"/>
      <c r="J25" s="228"/>
      <c r="K25" s="870" t="s">
        <v>468</v>
      </c>
      <c r="L25" s="878"/>
    </row>
    <row r="26" spans="1:17" ht="14.25" customHeight="1" x14ac:dyDescent="0.25">
      <c r="A26" s="932"/>
      <c r="B26" s="933"/>
      <c r="C26" s="934"/>
      <c r="D26" s="885" t="s">
        <v>437</v>
      </c>
      <c r="E26" s="886"/>
      <c r="F26" s="887"/>
      <c r="G26" s="230"/>
      <c r="H26" s="230"/>
      <c r="I26" s="226"/>
      <c r="J26" s="230"/>
      <c r="K26" s="869"/>
      <c r="L26" s="879"/>
    </row>
    <row r="27" spans="1:17" ht="14.25" customHeight="1" x14ac:dyDescent="0.25">
      <c r="A27" s="932"/>
      <c r="B27" s="933"/>
      <c r="C27" s="934"/>
      <c r="D27" s="885" t="s">
        <v>438</v>
      </c>
      <c r="E27" s="886"/>
      <c r="F27" s="887"/>
      <c r="G27" s="230"/>
      <c r="H27" s="230"/>
      <c r="I27" s="226"/>
      <c r="J27" s="230"/>
      <c r="K27" s="895"/>
      <c r="L27" s="896"/>
    </row>
    <row r="28" spans="1:17" ht="14.25" customHeight="1" x14ac:dyDescent="0.25">
      <c r="A28" s="932"/>
      <c r="B28" s="933"/>
      <c r="C28" s="934"/>
      <c r="D28" s="885" t="s">
        <v>439</v>
      </c>
      <c r="E28" s="886"/>
      <c r="F28" s="887"/>
      <c r="G28" s="230"/>
      <c r="H28" s="230"/>
      <c r="I28" s="226"/>
      <c r="J28" s="230"/>
      <c r="K28" s="890" t="s">
        <v>469</v>
      </c>
      <c r="L28" s="893"/>
    </row>
    <row r="29" spans="1:17" ht="14.25" customHeight="1" thickBot="1" x14ac:dyDescent="0.3">
      <c r="A29" s="935"/>
      <c r="B29" s="936"/>
      <c r="C29" s="937"/>
      <c r="D29" s="881" t="s">
        <v>440</v>
      </c>
      <c r="E29" s="882"/>
      <c r="F29" s="883"/>
      <c r="G29" s="229"/>
      <c r="H29" s="229"/>
      <c r="I29" s="225"/>
      <c r="J29" s="229"/>
      <c r="K29" s="891"/>
      <c r="L29" s="894"/>
    </row>
    <row r="30" spans="1:17" ht="14.25" customHeight="1" x14ac:dyDescent="0.25">
      <c r="A30" s="929" t="s">
        <v>417</v>
      </c>
      <c r="B30" s="930"/>
      <c r="C30" s="931"/>
      <c r="D30" s="872" t="s">
        <v>485</v>
      </c>
      <c r="E30" s="873"/>
      <c r="F30" s="884"/>
      <c r="G30" s="228"/>
      <c r="H30" s="228"/>
      <c r="I30" s="224"/>
      <c r="J30" s="228"/>
      <c r="K30" s="870" t="s">
        <v>468</v>
      </c>
      <c r="L30" s="878"/>
    </row>
    <row r="31" spans="1:17" ht="14.25" customHeight="1" x14ac:dyDescent="0.25">
      <c r="A31" s="932"/>
      <c r="B31" s="933"/>
      <c r="C31" s="934"/>
      <c r="D31" s="885" t="s">
        <v>441</v>
      </c>
      <c r="E31" s="886"/>
      <c r="F31" s="887"/>
      <c r="G31" s="230"/>
      <c r="H31" s="230"/>
      <c r="I31" s="226"/>
      <c r="J31" s="230"/>
      <c r="K31" s="869"/>
      <c r="L31" s="879"/>
    </row>
    <row r="32" spans="1:17" ht="14.25" customHeight="1" x14ac:dyDescent="0.25">
      <c r="A32" s="932"/>
      <c r="B32" s="933"/>
      <c r="C32" s="934"/>
      <c r="D32" s="885" t="s">
        <v>442</v>
      </c>
      <c r="E32" s="886"/>
      <c r="F32" s="887"/>
      <c r="G32" s="230"/>
      <c r="H32" s="230"/>
      <c r="I32" s="226"/>
      <c r="J32" s="230"/>
      <c r="K32" s="869"/>
      <c r="L32" s="879"/>
    </row>
    <row r="33" spans="1:12" ht="14.25" customHeight="1" x14ac:dyDescent="0.25">
      <c r="A33" s="932"/>
      <c r="B33" s="933"/>
      <c r="C33" s="934"/>
      <c r="D33" s="885" t="s">
        <v>443</v>
      </c>
      <c r="E33" s="886"/>
      <c r="F33" s="887"/>
      <c r="G33" s="230"/>
      <c r="H33" s="230"/>
      <c r="I33" s="226"/>
      <c r="J33" s="230"/>
      <c r="K33" s="869"/>
      <c r="L33" s="879"/>
    </row>
    <row r="34" spans="1:12" ht="14.25" customHeight="1" x14ac:dyDescent="0.25">
      <c r="A34" s="932"/>
      <c r="B34" s="933"/>
      <c r="C34" s="934"/>
      <c r="D34" s="885" t="s">
        <v>444</v>
      </c>
      <c r="E34" s="886"/>
      <c r="F34" s="887"/>
      <c r="G34" s="230"/>
      <c r="H34" s="230"/>
      <c r="I34" s="226"/>
      <c r="J34" s="230"/>
      <c r="K34" s="869"/>
      <c r="L34" s="879"/>
    </row>
    <row r="35" spans="1:12" ht="14.25" customHeight="1" x14ac:dyDescent="0.25">
      <c r="A35" s="932"/>
      <c r="B35" s="933"/>
      <c r="C35" s="934"/>
      <c r="D35" s="885" t="s">
        <v>445</v>
      </c>
      <c r="E35" s="886"/>
      <c r="F35" s="887"/>
      <c r="G35" s="230"/>
      <c r="H35" s="230"/>
      <c r="I35" s="226"/>
      <c r="J35" s="230"/>
      <c r="K35" s="869"/>
      <c r="L35" s="879"/>
    </row>
    <row r="36" spans="1:12" ht="14.25" customHeight="1" thickBot="1" x14ac:dyDescent="0.3">
      <c r="A36" s="935"/>
      <c r="B36" s="936"/>
      <c r="C36" s="937"/>
      <c r="D36" s="881" t="s">
        <v>446</v>
      </c>
      <c r="E36" s="882"/>
      <c r="F36" s="883"/>
      <c r="G36" s="229"/>
      <c r="H36" s="229"/>
      <c r="I36" s="225"/>
      <c r="J36" s="229"/>
      <c r="K36" s="871"/>
      <c r="L36" s="880"/>
    </row>
    <row r="37" spans="1:12" ht="14.25" customHeight="1" x14ac:dyDescent="0.25">
      <c r="A37" s="929" t="s">
        <v>80</v>
      </c>
      <c r="B37" s="930"/>
      <c r="C37" s="931"/>
      <c r="D37" s="872" t="s">
        <v>485</v>
      </c>
      <c r="E37" s="873"/>
      <c r="F37" s="884"/>
      <c r="G37" s="228"/>
      <c r="H37" s="228"/>
      <c r="I37" s="224"/>
      <c r="J37" s="228"/>
      <c r="K37" s="870" t="s">
        <v>472</v>
      </c>
      <c r="L37" s="878"/>
    </row>
    <row r="38" spans="1:12" ht="14.25" customHeight="1" x14ac:dyDescent="0.25">
      <c r="A38" s="932"/>
      <c r="B38" s="933"/>
      <c r="C38" s="934"/>
      <c r="D38" s="885" t="s">
        <v>447</v>
      </c>
      <c r="E38" s="886"/>
      <c r="F38" s="887"/>
      <c r="G38" s="230"/>
      <c r="H38" s="230"/>
      <c r="I38" s="226"/>
      <c r="J38" s="230"/>
      <c r="K38" s="869"/>
      <c r="L38" s="879"/>
    </row>
    <row r="39" spans="1:12" ht="14.25" customHeight="1" thickBot="1" x14ac:dyDescent="0.3">
      <c r="A39" s="935"/>
      <c r="B39" s="936"/>
      <c r="C39" s="937"/>
      <c r="D39" s="881" t="s">
        <v>450</v>
      </c>
      <c r="E39" s="882"/>
      <c r="F39" s="883"/>
      <c r="G39" s="229"/>
      <c r="H39" s="229"/>
      <c r="I39" s="225"/>
      <c r="J39" s="229"/>
      <c r="K39" s="871"/>
      <c r="L39" s="880"/>
    </row>
    <row r="40" spans="1:12" ht="14.25" customHeight="1" x14ac:dyDescent="0.25">
      <c r="A40" s="929" t="s">
        <v>266</v>
      </c>
      <c r="B40" s="930"/>
      <c r="C40" s="931"/>
      <c r="D40" s="872" t="s">
        <v>485</v>
      </c>
      <c r="E40" s="873"/>
      <c r="F40" s="884"/>
      <c r="G40" s="228"/>
      <c r="H40" s="228"/>
      <c r="I40" s="224"/>
      <c r="J40" s="228"/>
      <c r="K40" s="870" t="s">
        <v>473</v>
      </c>
      <c r="L40" s="878"/>
    </row>
    <row r="41" spans="1:12" ht="14.25" customHeight="1" x14ac:dyDescent="0.25">
      <c r="A41" s="932"/>
      <c r="B41" s="933"/>
      <c r="C41" s="934"/>
      <c r="D41" s="885" t="s">
        <v>449</v>
      </c>
      <c r="E41" s="886"/>
      <c r="F41" s="887"/>
      <c r="G41" s="230"/>
      <c r="H41" s="230"/>
      <c r="I41" s="226"/>
      <c r="J41" s="230"/>
      <c r="K41" s="869"/>
      <c r="L41" s="879"/>
    </row>
    <row r="42" spans="1:12" ht="14.25" customHeight="1" thickBot="1" x14ac:dyDescent="0.3">
      <c r="A42" s="935"/>
      <c r="B42" s="936"/>
      <c r="C42" s="937"/>
      <c r="D42" s="881" t="s">
        <v>450</v>
      </c>
      <c r="E42" s="882"/>
      <c r="F42" s="883"/>
      <c r="G42" s="229"/>
      <c r="H42" s="229"/>
      <c r="I42" s="225"/>
      <c r="J42" s="229"/>
      <c r="K42" s="871"/>
      <c r="L42" s="880"/>
    </row>
    <row r="43" spans="1:12" ht="14.25" customHeight="1" x14ac:dyDescent="0.25">
      <c r="A43" s="929" t="s">
        <v>452</v>
      </c>
      <c r="B43" s="930"/>
      <c r="C43" s="930"/>
      <c r="D43" s="872" t="s">
        <v>485</v>
      </c>
      <c r="E43" s="873"/>
      <c r="F43" s="874"/>
      <c r="G43" s="224"/>
      <c r="H43" s="228"/>
      <c r="I43" s="228"/>
      <c r="J43" s="236"/>
      <c r="K43" s="870" t="s">
        <v>468</v>
      </c>
      <c r="L43" s="878"/>
    </row>
    <row r="44" spans="1:12" ht="14.25" customHeight="1" x14ac:dyDescent="0.25">
      <c r="A44" s="932"/>
      <c r="B44" s="933"/>
      <c r="C44" s="933"/>
      <c r="D44" s="885" t="s">
        <v>451</v>
      </c>
      <c r="E44" s="886"/>
      <c r="F44" s="888"/>
      <c r="G44" s="226"/>
      <c r="H44" s="230"/>
      <c r="I44" s="230"/>
      <c r="J44" s="235"/>
      <c r="K44" s="869"/>
      <c r="L44" s="879"/>
    </row>
    <row r="45" spans="1:12" ht="14.25" customHeight="1" x14ac:dyDescent="0.25">
      <c r="A45" s="932"/>
      <c r="B45" s="933"/>
      <c r="C45" s="933"/>
      <c r="D45" s="885" t="s">
        <v>455</v>
      </c>
      <c r="E45" s="886"/>
      <c r="F45" s="888"/>
      <c r="G45" s="241"/>
      <c r="H45" s="242"/>
      <c r="I45" s="242"/>
      <c r="J45" s="235"/>
      <c r="K45" s="869"/>
      <c r="L45" s="879"/>
    </row>
    <row r="46" spans="1:12" ht="14.25" customHeight="1" x14ac:dyDescent="0.25">
      <c r="A46" s="932"/>
      <c r="B46" s="933"/>
      <c r="C46" s="933"/>
      <c r="D46" s="885" t="s">
        <v>454</v>
      </c>
      <c r="E46" s="886"/>
      <c r="F46" s="888"/>
      <c r="G46" s="226"/>
      <c r="H46" s="230"/>
      <c r="I46" s="230"/>
      <c r="J46" s="235"/>
      <c r="K46" s="869"/>
      <c r="L46" s="879"/>
    </row>
    <row r="47" spans="1:12" ht="14.25" customHeight="1" x14ac:dyDescent="0.25">
      <c r="A47" s="932"/>
      <c r="B47" s="933"/>
      <c r="C47" s="933"/>
      <c r="D47" s="885" t="s">
        <v>456</v>
      </c>
      <c r="E47" s="886"/>
      <c r="F47" s="888"/>
      <c r="G47" s="226"/>
      <c r="H47" s="230"/>
      <c r="I47" s="230"/>
      <c r="J47" s="235"/>
      <c r="K47" s="869"/>
      <c r="L47" s="879"/>
    </row>
    <row r="48" spans="1:12" ht="14.25" customHeight="1" x14ac:dyDescent="0.25">
      <c r="A48" s="932"/>
      <c r="B48" s="933"/>
      <c r="C48" s="933"/>
      <c r="D48" s="885" t="s">
        <v>457</v>
      </c>
      <c r="E48" s="886"/>
      <c r="F48" s="888"/>
      <c r="G48" s="226"/>
      <c r="H48" s="230"/>
      <c r="I48" s="230"/>
      <c r="J48" s="235"/>
      <c r="K48" s="895"/>
      <c r="L48" s="896"/>
    </row>
    <row r="49" spans="1:12" ht="14.25" customHeight="1" x14ac:dyDescent="0.25">
      <c r="A49" s="932"/>
      <c r="B49" s="933"/>
      <c r="C49" s="933"/>
      <c r="D49" s="885" t="s">
        <v>485</v>
      </c>
      <c r="E49" s="886"/>
      <c r="F49" s="888"/>
      <c r="G49" s="240"/>
      <c r="H49" s="239"/>
      <c r="I49" s="239"/>
      <c r="J49" s="238"/>
      <c r="K49" s="868" t="s">
        <v>471</v>
      </c>
      <c r="L49" s="897"/>
    </row>
    <row r="50" spans="1:12" ht="14.25" customHeight="1" thickBot="1" x14ac:dyDescent="0.3">
      <c r="A50" s="935"/>
      <c r="B50" s="936"/>
      <c r="C50" s="936"/>
      <c r="D50" s="881" t="s">
        <v>453</v>
      </c>
      <c r="E50" s="882"/>
      <c r="F50" s="901"/>
      <c r="G50" s="225"/>
      <c r="H50" s="229"/>
      <c r="I50" s="229"/>
      <c r="J50" s="237"/>
      <c r="K50" s="871"/>
      <c r="L50" s="880"/>
    </row>
    <row r="51" spans="1:12" ht="14.25" customHeight="1" x14ac:dyDescent="0.25">
      <c r="A51" s="929" t="s">
        <v>263</v>
      </c>
      <c r="B51" s="930"/>
      <c r="C51" s="931"/>
      <c r="D51" s="875" t="s">
        <v>485</v>
      </c>
      <c r="E51" s="876"/>
      <c r="F51" s="877"/>
      <c r="G51" s="228"/>
      <c r="H51" s="228"/>
      <c r="I51" s="224"/>
      <c r="J51" s="228"/>
      <c r="K51" s="870" t="s">
        <v>468</v>
      </c>
      <c r="L51" s="878"/>
    </row>
    <row r="52" spans="1:12" ht="14.25" customHeight="1" x14ac:dyDescent="0.25">
      <c r="A52" s="932"/>
      <c r="B52" s="933"/>
      <c r="C52" s="934"/>
      <c r="D52" s="885" t="s">
        <v>458</v>
      </c>
      <c r="E52" s="886"/>
      <c r="F52" s="887"/>
      <c r="G52" s="230"/>
      <c r="H52" s="230"/>
      <c r="I52" s="226"/>
      <c r="J52" s="230"/>
      <c r="K52" s="869"/>
      <c r="L52" s="879"/>
    </row>
    <row r="53" spans="1:12" ht="14.25" customHeight="1" x14ac:dyDescent="0.25">
      <c r="A53" s="932"/>
      <c r="B53" s="933"/>
      <c r="C53" s="934"/>
      <c r="D53" s="885" t="s">
        <v>459</v>
      </c>
      <c r="E53" s="886"/>
      <c r="F53" s="887"/>
      <c r="G53" s="230"/>
      <c r="H53" s="230"/>
      <c r="I53" s="226"/>
      <c r="J53" s="230"/>
      <c r="K53" s="869"/>
      <c r="L53" s="879"/>
    </row>
    <row r="54" spans="1:12" ht="14.25" customHeight="1" x14ac:dyDescent="0.25">
      <c r="A54" s="932"/>
      <c r="B54" s="933"/>
      <c r="C54" s="934"/>
      <c r="D54" s="885" t="s">
        <v>460</v>
      </c>
      <c r="E54" s="886"/>
      <c r="F54" s="887"/>
      <c r="G54" s="230"/>
      <c r="H54" s="230"/>
      <c r="I54" s="226"/>
      <c r="J54" s="230"/>
      <c r="K54" s="869"/>
      <c r="L54" s="879"/>
    </row>
    <row r="55" spans="1:12" ht="14.25" customHeight="1" thickBot="1" x14ac:dyDescent="0.3">
      <c r="A55" s="935"/>
      <c r="B55" s="936"/>
      <c r="C55" s="937"/>
      <c r="D55" s="881" t="s">
        <v>461</v>
      </c>
      <c r="E55" s="882"/>
      <c r="F55" s="883"/>
      <c r="G55" s="229"/>
      <c r="H55" s="229"/>
      <c r="I55" s="225"/>
      <c r="J55" s="229"/>
      <c r="K55" s="871"/>
      <c r="L55" s="880"/>
    </row>
    <row r="56" spans="1:12" ht="14.25" customHeight="1" x14ac:dyDescent="0.25">
      <c r="A56" s="938" t="s">
        <v>261</v>
      </c>
      <c r="B56" s="939"/>
      <c r="C56" s="939"/>
      <c r="D56" s="872" t="s">
        <v>485</v>
      </c>
      <c r="E56" s="873"/>
      <c r="F56" s="874"/>
      <c r="G56" s="236"/>
      <c r="H56" s="228"/>
      <c r="I56" s="224"/>
      <c r="J56" s="228"/>
      <c r="K56" s="870" t="s">
        <v>476</v>
      </c>
      <c r="L56" s="878"/>
    </row>
    <row r="57" spans="1:12" ht="14.25" customHeight="1" x14ac:dyDescent="0.25">
      <c r="A57" s="938"/>
      <c r="B57" s="939"/>
      <c r="C57" s="939"/>
      <c r="D57" s="885" t="s">
        <v>462</v>
      </c>
      <c r="E57" s="886"/>
      <c r="F57" s="888"/>
      <c r="G57" s="235"/>
      <c r="H57" s="230"/>
      <c r="I57" s="226"/>
      <c r="J57" s="230"/>
      <c r="K57" s="869"/>
      <c r="L57" s="879"/>
    </row>
    <row r="58" spans="1:12" ht="14.25" customHeight="1" x14ac:dyDescent="0.25">
      <c r="A58" s="938"/>
      <c r="B58" s="939"/>
      <c r="C58" s="939"/>
      <c r="D58" s="885" t="s">
        <v>463</v>
      </c>
      <c r="E58" s="886"/>
      <c r="F58" s="888"/>
      <c r="G58" s="235"/>
      <c r="H58" s="230"/>
      <c r="I58" s="226"/>
      <c r="J58" s="230"/>
      <c r="K58" s="895"/>
      <c r="L58" s="896"/>
    </row>
    <row r="59" spans="1:12" ht="14.25" customHeight="1" x14ac:dyDescent="0.25">
      <c r="A59" s="938"/>
      <c r="B59" s="939"/>
      <c r="C59" s="939"/>
      <c r="D59" s="885" t="s">
        <v>485</v>
      </c>
      <c r="E59" s="886"/>
      <c r="F59" s="888"/>
      <c r="G59" s="235"/>
      <c r="H59" s="230"/>
      <c r="I59" s="226"/>
      <c r="J59" s="230"/>
      <c r="K59" s="868" t="s">
        <v>472</v>
      </c>
      <c r="L59" s="897"/>
    </row>
    <row r="60" spans="1:12" ht="14.25" customHeight="1" x14ac:dyDescent="0.25">
      <c r="A60" s="938"/>
      <c r="B60" s="939"/>
      <c r="C60" s="939"/>
      <c r="D60" s="885" t="s">
        <v>464</v>
      </c>
      <c r="E60" s="886"/>
      <c r="F60" s="888"/>
      <c r="G60" s="235"/>
      <c r="H60" s="230"/>
      <c r="I60" s="226"/>
      <c r="J60" s="230"/>
      <c r="K60" s="869"/>
      <c r="L60" s="879"/>
    </row>
    <row r="61" spans="1:12" ht="14.25" customHeight="1" thickBot="1" x14ac:dyDescent="0.3">
      <c r="A61" s="914"/>
      <c r="B61" s="915"/>
      <c r="C61" s="915"/>
      <c r="D61" s="881" t="s">
        <v>448</v>
      </c>
      <c r="E61" s="882"/>
      <c r="F61" s="901"/>
      <c r="G61" s="237"/>
      <c r="H61" s="229"/>
      <c r="I61" s="225"/>
      <c r="J61" s="229"/>
      <c r="K61" s="871"/>
      <c r="L61" s="880"/>
    </row>
    <row r="62" spans="1:12" ht="14.25" customHeight="1" x14ac:dyDescent="0.25">
      <c r="A62" s="929" t="s">
        <v>260</v>
      </c>
      <c r="B62" s="930"/>
      <c r="C62" s="931"/>
      <c r="D62" s="872" t="s">
        <v>485</v>
      </c>
      <c r="E62" s="873"/>
      <c r="F62" s="884"/>
      <c r="G62" s="228"/>
      <c r="H62" s="228"/>
      <c r="I62" s="224"/>
      <c r="J62" s="228"/>
      <c r="K62" s="870" t="s">
        <v>473</v>
      </c>
      <c r="L62" s="878"/>
    </row>
    <row r="63" spans="1:12" ht="14.25" customHeight="1" x14ac:dyDescent="0.25">
      <c r="A63" s="932"/>
      <c r="B63" s="933"/>
      <c r="C63" s="934"/>
      <c r="D63" s="885" t="s">
        <v>465</v>
      </c>
      <c r="E63" s="886"/>
      <c r="F63" s="887"/>
      <c r="G63" s="230"/>
      <c r="H63" s="230"/>
      <c r="I63" s="226"/>
      <c r="J63" s="230"/>
      <c r="K63" s="869"/>
      <c r="L63" s="879"/>
    </row>
    <row r="64" spans="1:12" ht="14.25" customHeight="1" thickBot="1" x14ac:dyDescent="0.3">
      <c r="A64" s="935"/>
      <c r="B64" s="936"/>
      <c r="C64" s="937"/>
      <c r="D64" s="881" t="s">
        <v>466</v>
      </c>
      <c r="E64" s="882"/>
      <c r="F64" s="883"/>
      <c r="G64" s="229"/>
      <c r="H64" s="229"/>
      <c r="I64" s="225"/>
      <c r="J64" s="229"/>
      <c r="K64" s="871"/>
      <c r="L64" s="880"/>
    </row>
    <row r="65" spans="1:14" ht="14.25" customHeight="1" x14ac:dyDescent="0.25">
      <c r="A65" s="917" t="s">
        <v>418</v>
      </c>
      <c r="B65" s="918"/>
      <c r="C65" s="919"/>
      <c r="D65" s="872" t="s">
        <v>480</v>
      </c>
      <c r="E65" s="873"/>
      <c r="F65" s="884"/>
      <c r="G65" s="228"/>
      <c r="H65" s="228"/>
      <c r="I65" s="224"/>
      <c r="J65" s="228"/>
      <c r="K65" s="889" t="s">
        <v>469</v>
      </c>
      <c r="L65" s="892"/>
    </row>
    <row r="66" spans="1:14" ht="14.25" customHeight="1" x14ac:dyDescent="0.25">
      <c r="A66" s="920"/>
      <c r="B66" s="921"/>
      <c r="C66" s="922"/>
      <c r="D66" s="885" t="s">
        <v>481</v>
      </c>
      <c r="E66" s="886"/>
      <c r="F66" s="887"/>
      <c r="G66" s="230"/>
      <c r="H66" s="230"/>
      <c r="I66" s="226"/>
      <c r="J66" s="230"/>
      <c r="K66" s="890"/>
      <c r="L66" s="893"/>
    </row>
    <row r="67" spans="1:14" ht="14.25" customHeight="1" thickBot="1" x14ac:dyDescent="0.3">
      <c r="A67" s="923"/>
      <c r="B67" s="924"/>
      <c r="C67" s="925"/>
      <c r="D67" s="881" t="s">
        <v>482</v>
      </c>
      <c r="E67" s="882"/>
      <c r="F67" s="883"/>
      <c r="G67" s="229"/>
      <c r="H67" s="229"/>
      <c r="I67" s="225"/>
      <c r="J67" s="229"/>
      <c r="K67" s="891"/>
      <c r="L67" s="894"/>
    </row>
    <row r="68" spans="1:14" x14ac:dyDescent="0.25">
      <c r="A68" s="222"/>
      <c r="B68" s="222"/>
      <c r="C68" s="222"/>
      <c r="D68" s="223"/>
      <c r="E68" s="223"/>
      <c r="F68" s="223"/>
      <c r="G68" s="223"/>
      <c r="H68" s="223"/>
      <c r="I68" s="223"/>
      <c r="J68" s="223"/>
      <c r="K68" s="223"/>
      <c r="L68" s="223"/>
      <c r="M68" s="221"/>
    </row>
    <row r="69" spans="1:14" x14ac:dyDescent="0.25">
      <c r="A69" s="222"/>
      <c r="B69" s="222"/>
      <c r="C69" s="222"/>
      <c r="D69" s="223"/>
      <c r="E69" s="223"/>
      <c r="F69" s="223"/>
      <c r="G69" s="223"/>
      <c r="H69" s="223"/>
      <c r="I69" s="223"/>
      <c r="J69" s="223"/>
      <c r="K69" s="223"/>
      <c r="L69" s="223"/>
      <c r="M69" s="221"/>
    </row>
    <row r="70" spans="1:14" x14ac:dyDescent="0.25">
      <c r="A70" s="222"/>
      <c r="B70" s="222"/>
      <c r="C70" s="222"/>
      <c r="D70" s="223"/>
      <c r="E70" s="223"/>
      <c r="F70" s="223"/>
      <c r="G70" s="223"/>
      <c r="H70" s="223"/>
      <c r="I70" s="223"/>
      <c r="J70" s="223"/>
      <c r="K70" s="223"/>
      <c r="L70" s="223"/>
      <c r="M70" s="221"/>
    </row>
    <row r="71" spans="1:14" x14ac:dyDescent="0.25">
      <c r="A71" s="221"/>
      <c r="B71" s="221"/>
      <c r="C71" s="221"/>
      <c r="D71" s="220"/>
      <c r="E71" s="221"/>
      <c r="F71" s="221"/>
      <c r="G71" s="221"/>
      <c r="H71" s="221"/>
      <c r="I71" s="221"/>
      <c r="J71" s="221"/>
      <c r="K71" s="221"/>
      <c r="L71" s="221"/>
      <c r="M71" s="221"/>
      <c r="N71" s="221"/>
    </row>
    <row r="72" spans="1:14" x14ac:dyDescent="0.25">
      <c r="A72" s="221"/>
      <c r="B72" s="221"/>
      <c r="C72" s="221"/>
      <c r="D72" s="220"/>
      <c r="E72" s="221"/>
      <c r="F72" s="221"/>
      <c r="G72" s="221"/>
      <c r="H72" s="221"/>
      <c r="I72" s="221"/>
      <c r="J72" s="221"/>
      <c r="K72" s="221"/>
      <c r="L72" s="221"/>
      <c r="M72" s="221"/>
      <c r="N72" s="221"/>
    </row>
    <row r="73" spans="1:14" x14ac:dyDescent="0.25">
      <c r="A73" s="221"/>
      <c r="B73" s="221"/>
      <c r="C73" s="221"/>
      <c r="D73" s="220"/>
      <c r="E73" s="221"/>
      <c r="F73" s="221"/>
      <c r="G73" s="221"/>
      <c r="H73" s="221"/>
      <c r="I73" s="221"/>
      <c r="J73" s="221"/>
      <c r="K73" s="221"/>
      <c r="L73" s="221"/>
      <c r="M73" s="221"/>
      <c r="N73" s="221"/>
    </row>
    <row r="74" spans="1:14" x14ac:dyDescent="0.25">
      <c r="A74" s="221"/>
      <c r="B74" s="221"/>
      <c r="C74" s="221"/>
      <c r="D74" s="220"/>
      <c r="E74" s="221"/>
      <c r="F74" s="221"/>
      <c r="G74" s="221"/>
      <c r="H74" s="221"/>
      <c r="I74" s="221"/>
      <c r="J74" s="221"/>
      <c r="K74" s="221"/>
      <c r="L74" s="221"/>
      <c r="M74" s="221"/>
      <c r="N74" s="221"/>
    </row>
    <row r="75" spans="1:14" x14ac:dyDescent="0.25">
      <c r="A75" s="221"/>
      <c r="B75" s="221"/>
      <c r="C75" s="221"/>
      <c r="D75" s="220"/>
      <c r="E75" s="221"/>
      <c r="F75" s="221"/>
      <c r="G75" s="221"/>
      <c r="H75" s="221"/>
      <c r="I75" s="221"/>
      <c r="J75" s="221"/>
      <c r="K75" s="221"/>
      <c r="L75" s="221"/>
      <c r="M75" s="221"/>
      <c r="N75" s="221"/>
    </row>
    <row r="76" spans="1:14" x14ac:dyDescent="0.25">
      <c r="A76" s="221"/>
      <c r="B76" s="221"/>
      <c r="C76" s="221"/>
      <c r="D76" s="220"/>
      <c r="E76" s="221"/>
      <c r="F76" s="221"/>
      <c r="G76" s="221"/>
      <c r="H76" s="221"/>
      <c r="I76" s="221"/>
      <c r="J76" s="221"/>
      <c r="K76" s="221"/>
      <c r="L76" s="221"/>
      <c r="M76" s="221"/>
      <c r="N76" s="221"/>
    </row>
    <row r="77" spans="1:14" x14ac:dyDescent="0.25">
      <c r="A77" s="221"/>
      <c r="B77" s="221"/>
      <c r="C77" s="221"/>
      <c r="D77" s="220"/>
      <c r="E77" s="221"/>
      <c r="F77" s="221"/>
      <c r="G77" s="221"/>
      <c r="H77" s="221"/>
      <c r="I77" s="221"/>
      <c r="J77" s="221"/>
      <c r="K77" s="221"/>
      <c r="L77" s="221"/>
      <c r="M77" s="221"/>
      <c r="N77" s="221"/>
    </row>
    <row r="78" spans="1:14" x14ac:dyDescent="0.25">
      <c r="A78" s="221"/>
      <c r="B78" s="221"/>
      <c r="C78" s="221"/>
      <c r="D78" s="220"/>
      <c r="E78" s="221"/>
      <c r="F78" s="221"/>
      <c r="G78" s="221"/>
      <c r="H78" s="221"/>
      <c r="I78" s="221"/>
      <c r="J78" s="221"/>
      <c r="K78" s="221"/>
      <c r="L78" s="221"/>
      <c r="M78" s="221"/>
      <c r="N78" s="221"/>
    </row>
    <row r="79" spans="1:14" x14ac:dyDescent="0.25">
      <c r="A79" s="221"/>
      <c r="B79" s="221"/>
      <c r="C79" s="221"/>
      <c r="D79" s="220"/>
      <c r="E79" s="221"/>
      <c r="F79" s="221"/>
      <c r="G79" s="221"/>
      <c r="H79" s="221"/>
      <c r="I79" s="221"/>
      <c r="J79" s="221"/>
      <c r="K79" s="221"/>
      <c r="L79" s="221"/>
      <c r="M79" s="221"/>
      <c r="N79" s="221"/>
    </row>
    <row r="80" spans="1:14" x14ac:dyDescent="0.25">
      <c r="A80" s="221"/>
      <c r="B80" s="221"/>
      <c r="C80" s="221"/>
      <c r="D80" s="220"/>
      <c r="E80" s="221"/>
      <c r="F80" s="221"/>
      <c r="G80" s="221"/>
      <c r="H80" s="221"/>
      <c r="I80" s="221"/>
      <c r="J80" s="221"/>
      <c r="K80" s="221"/>
      <c r="L80" s="221"/>
      <c r="M80" s="221"/>
      <c r="N80" s="221"/>
    </row>
    <row r="81" spans="1:14" x14ac:dyDescent="0.25">
      <c r="A81" s="221"/>
      <c r="B81" s="221"/>
      <c r="C81" s="221"/>
      <c r="D81" s="220"/>
      <c r="E81" s="221"/>
      <c r="F81" s="221"/>
      <c r="G81" s="221"/>
      <c r="H81" s="221"/>
      <c r="I81" s="221"/>
      <c r="J81" s="221"/>
      <c r="K81" s="221"/>
      <c r="L81" s="221"/>
      <c r="M81" s="221"/>
      <c r="N81" s="221"/>
    </row>
    <row r="82" spans="1:14" x14ac:dyDescent="0.25">
      <c r="A82" s="221"/>
      <c r="B82" s="221"/>
      <c r="C82" s="221"/>
      <c r="D82" s="220"/>
      <c r="E82" s="221"/>
      <c r="F82" s="221"/>
      <c r="G82" s="221"/>
      <c r="H82" s="221"/>
      <c r="I82" s="221"/>
      <c r="J82" s="221"/>
      <c r="K82" s="221"/>
      <c r="L82" s="221"/>
      <c r="M82" s="221"/>
      <c r="N82" s="221"/>
    </row>
    <row r="83" spans="1:14" x14ac:dyDescent="0.25">
      <c r="A83" s="221"/>
      <c r="B83" s="221"/>
      <c r="C83" s="221"/>
      <c r="D83" s="220"/>
      <c r="E83" s="221"/>
      <c r="F83" s="221"/>
      <c r="G83" s="221"/>
      <c r="H83" s="221"/>
      <c r="I83" s="221"/>
      <c r="J83" s="221"/>
      <c r="K83" s="221"/>
      <c r="L83" s="221"/>
      <c r="M83" s="221"/>
      <c r="N83" s="221"/>
    </row>
    <row r="84" spans="1:14" x14ac:dyDescent="0.25">
      <c r="A84" s="221"/>
      <c r="B84" s="221"/>
      <c r="C84" s="221"/>
      <c r="D84" s="220"/>
      <c r="E84" s="221"/>
      <c r="F84" s="221"/>
      <c r="G84" s="221"/>
      <c r="H84" s="221"/>
      <c r="I84" s="221"/>
      <c r="J84" s="221"/>
      <c r="K84" s="221"/>
      <c r="L84" s="221"/>
      <c r="M84" s="221"/>
      <c r="N84" s="221"/>
    </row>
    <row r="85" spans="1:14" x14ac:dyDescent="0.25">
      <c r="A85" s="221"/>
      <c r="B85" s="221"/>
      <c r="C85" s="221"/>
      <c r="D85" s="220"/>
      <c r="E85" s="221"/>
      <c r="F85" s="221"/>
      <c r="G85" s="221"/>
      <c r="H85" s="221"/>
      <c r="I85" s="221"/>
      <c r="J85" s="221"/>
      <c r="K85" s="221"/>
      <c r="L85" s="221"/>
      <c r="M85" s="221"/>
      <c r="N85" s="221"/>
    </row>
    <row r="86" spans="1:14" x14ac:dyDescent="0.25">
      <c r="A86" s="221"/>
      <c r="B86" s="221"/>
      <c r="C86" s="221"/>
      <c r="D86" s="220"/>
      <c r="E86" s="221"/>
      <c r="F86" s="221"/>
      <c r="G86" s="221"/>
      <c r="H86" s="221"/>
      <c r="I86" s="221"/>
      <c r="J86" s="221"/>
      <c r="K86" s="221"/>
      <c r="L86" s="221"/>
      <c r="M86" s="221"/>
      <c r="N86" s="221"/>
    </row>
    <row r="87" spans="1:14" x14ac:dyDescent="0.25">
      <c r="A87" s="221"/>
      <c r="B87" s="221"/>
      <c r="C87" s="221"/>
      <c r="D87" s="220"/>
      <c r="E87" s="221"/>
      <c r="F87" s="221"/>
      <c r="G87" s="221"/>
      <c r="H87" s="221"/>
      <c r="I87" s="221"/>
      <c r="J87" s="221"/>
      <c r="K87" s="221"/>
      <c r="L87" s="221"/>
      <c r="M87" s="221"/>
      <c r="N87" s="221"/>
    </row>
    <row r="88" spans="1:14" x14ac:dyDescent="0.25">
      <c r="A88" s="221"/>
      <c r="B88" s="221"/>
      <c r="C88" s="221"/>
      <c r="D88" s="220"/>
      <c r="E88" s="221"/>
      <c r="F88" s="221"/>
      <c r="G88" s="221"/>
      <c r="H88" s="221"/>
      <c r="I88" s="221"/>
      <c r="J88" s="221"/>
      <c r="K88" s="221"/>
      <c r="L88" s="221"/>
      <c r="M88" s="221"/>
      <c r="N88" s="221"/>
    </row>
    <row r="89" spans="1:14" x14ac:dyDescent="0.25">
      <c r="A89" s="221"/>
      <c r="B89" s="221"/>
      <c r="C89" s="221"/>
      <c r="D89" s="220"/>
      <c r="E89" s="221"/>
      <c r="F89" s="221"/>
      <c r="G89" s="221"/>
      <c r="H89" s="221"/>
      <c r="I89" s="221"/>
      <c r="J89" s="221"/>
      <c r="K89" s="221"/>
      <c r="L89" s="221"/>
      <c r="M89" s="221"/>
      <c r="N89" s="221"/>
    </row>
    <row r="90" spans="1:14" x14ac:dyDescent="0.25">
      <c r="A90" s="221"/>
      <c r="B90" s="221"/>
      <c r="C90" s="221"/>
      <c r="D90" s="220"/>
      <c r="E90" s="221"/>
      <c r="F90" s="221"/>
      <c r="G90" s="221"/>
      <c r="H90" s="221"/>
      <c r="I90" s="221"/>
      <c r="J90" s="221"/>
      <c r="K90" s="221"/>
      <c r="L90" s="221"/>
      <c r="M90" s="221"/>
      <c r="N90" s="221"/>
    </row>
    <row r="91" spans="1:14" x14ac:dyDescent="0.25">
      <c r="A91" s="221"/>
      <c r="B91" s="221"/>
      <c r="C91" s="221"/>
      <c r="D91" s="220"/>
      <c r="E91" s="221"/>
      <c r="F91" s="221"/>
      <c r="G91" s="221"/>
      <c r="H91" s="221"/>
      <c r="I91" s="221"/>
      <c r="J91" s="221"/>
      <c r="K91" s="221"/>
      <c r="L91" s="221"/>
      <c r="M91" s="221"/>
      <c r="N91" s="221"/>
    </row>
    <row r="92" spans="1:14" x14ac:dyDescent="0.25">
      <c r="A92" s="221"/>
      <c r="B92" s="221"/>
      <c r="C92" s="221"/>
      <c r="D92" s="220"/>
      <c r="E92" s="221"/>
      <c r="F92" s="221"/>
      <c r="G92" s="221"/>
      <c r="H92" s="221"/>
      <c r="I92" s="221"/>
      <c r="J92" s="221"/>
      <c r="K92" s="221"/>
      <c r="L92" s="221"/>
      <c r="M92" s="221"/>
      <c r="N92" s="221"/>
    </row>
    <row r="93" spans="1:14" x14ac:dyDescent="0.25">
      <c r="A93" s="221"/>
      <c r="B93" s="221"/>
      <c r="C93" s="221"/>
      <c r="D93" s="220"/>
      <c r="E93" s="221"/>
      <c r="F93" s="221"/>
      <c r="G93" s="221"/>
      <c r="H93" s="221"/>
      <c r="I93" s="221"/>
      <c r="J93" s="221"/>
      <c r="K93" s="221"/>
      <c r="L93" s="221"/>
      <c r="M93" s="221"/>
      <c r="N93" s="221"/>
    </row>
    <row r="94" spans="1:14" x14ac:dyDescent="0.25">
      <c r="A94" s="221"/>
      <c r="B94" s="221"/>
      <c r="C94" s="221"/>
      <c r="D94" s="220"/>
      <c r="E94" s="221"/>
      <c r="F94" s="221"/>
      <c r="G94" s="221"/>
      <c r="H94" s="221"/>
      <c r="I94" s="221"/>
      <c r="J94" s="221"/>
      <c r="K94" s="221"/>
      <c r="L94" s="221"/>
      <c r="M94" s="221"/>
      <c r="N94" s="221"/>
    </row>
    <row r="95" spans="1:14" x14ac:dyDescent="0.25">
      <c r="A95" s="221"/>
      <c r="B95" s="221"/>
      <c r="C95" s="221"/>
      <c r="D95" s="220"/>
      <c r="E95" s="221"/>
      <c r="F95" s="221"/>
      <c r="G95" s="221"/>
      <c r="H95" s="221"/>
      <c r="I95" s="221"/>
      <c r="J95" s="221"/>
      <c r="K95" s="221"/>
      <c r="L95" s="221"/>
      <c r="M95" s="221"/>
      <c r="N95" s="221"/>
    </row>
    <row r="96" spans="1:14" x14ac:dyDescent="0.25">
      <c r="A96" s="221"/>
      <c r="B96" s="221"/>
      <c r="C96" s="221"/>
      <c r="D96" s="220"/>
      <c r="E96" s="221"/>
      <c r="F96" s="221"/>
      <c r="G96" s="221"/>
      <c r="H96" s="221"/>
      <c r="I96" s="221"/>
      <c r="J96" s="221"/>
      <c r="K96" s="221"/>
      <c r="L96" s="221"/>
      <c r="M96" s="221"/>
      <c r="N96" s="221"/>
    </row>
    <row r="97" spans="1:14" x14ac:dyDescent="0.25">
      <c r="A97" s="221"/>
      <c r="B97" s="221"/>
      <c r="C97" s="221"/>
      <c r="D97" s="220"/>
      <c r="E97" s="221"/>
      <c r="F97" s="221"/>
      <c r="G97" s="221"/>
      <c r="H97" s="221"/>
      <c r="I97" s="221"/>
      <c r="J97" s="221"/>
      <c r="K97" s="221"/>
      <c r="L97" s="221"/>
      <c r="M97" s="221"/>
      <c r="N97" s="221"/>
    </row>
    <row r="98" spans="1:14" x14ac:dyDescent="0.25">
      <c r="A98" s="221"/>
      <c r="B98" s="221"/>
      <c r="C98" s="221"/>
      <c r="D98" s="220"/>
      <c r="E98" s="221"/>
      <c r="F98" s="221"/>
      <c r="G98" s="221"/>
      <c r="H98" s="221"/>
      <c r="I98" s="221"/>
      <c r="J98" s="221"/>
      <c r="K98" s="221"/>
      <c r="L98" s="221"/>
      <c r="M98" s="221"/>
      <c r="N98" s="221"/>
    </row>
    <row r="99" spans="1:14" x14ac:dyDescent="0.25">
      <c r="A99" s="221"/>
      <c r="B99" s="221"/>
      <c r="C99" s="221"/>
      <c r="D99" s="220"/>
      <c r="E99" s="221"/>
      <c r="F99" s="221"/>
      <c r="G99" s="221"/>
      <c r="H99" s="221"/>
      <c r="I99" s="221"/>
      <c r="J99" s="221"/>
      <c r="K99" s="221"/>
      <c r="L99" s="221"/>
      <c r="M99" s="221"/>
      <c r="N99" s="221"/>
    </row>
    <row r="100" spans="1:14" x14ac:dyDescent="0.25">
      <c r="A100" s="221"/>
      <c r="B100" s="221"/>
      <c r="C100" s="221"/>
      <c r="D100" s="220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</row>
    <row r="101" spans="1:14" x14ac:dyDescent="0.25">
      <c r="A101" s="221"/>
      <c r="B101" s="221"/>
      <c r="C101" s="221"/>
      <c r="D101" s="220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</row>
    <row r="102" spans="1:14" x14ac:dyDescent="0.25">
      <c r="A102" s="221"/>
      <c r="B102" s="221"/>
      <c r="C102" s="221"/>
      <c r="D102" s="220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</row>
    <row r="103" spans="1:14" x14ac:dyDescent="0.25">
      <c r="A103" s="221"/>
      <c r="B103" s="221"/>
      <c r="C103" s="221"/>
      <c r="D103" s="220"/>
      <c r="E103" s="221"/>
      <c r="F103" s="221"/>
      <c r="G103" s="221"/>
      <c r="H103" s="221"/>
      <c r="I103" s="221"/>
      <c r="J103" s="221"/>
      <c r="K103" s="221"/>
      <c r="L103" s="221"/>
      <c r="M103" s="221"/>
      <c r="N103" s="221"/>
    </row>
    <row r="104" spans="1:14" x14ac:dyDescent="0.25">
      <c r="A104" s="221"/>
      <c r="B104" s="221"/>
      <c r="C104" s="221"/>
      <c r="D104" s="220"/>
      <c r="E104" s="221"/>
      <c r="F104" s="221"/>
      <c r="G104" s="221"/>
      <c r="H104" s="221"/>
      <c r="I104" s="221"/>
      <c r="J104" s="221"/>
      <c r="K104" s="221"/>
      <c r="L104" s="221"/>
      <c r="M104" s="221"/>
      <c r="N104" s="221"/>
    </row>
    <row r="105" spans="1:14" x14ac:dyDescent="0.25">
      <c r="A105" s="221"/>
      <c r="B105" s="221"/>
      <c r="C105" s="221"/>
      <c r="D105" s="220"/>
      <c r="E105" s="221"/>
      <c r="F105" s="221"/>
      <c r="G105" s="221"/>
      <c r="H105" s="221"/>
      <c r="I105" s="221"/>
      <c r="J105" s="221"/>
      <c r="K105" s="221"/>
      <c r="L105" s="221"/>
      <c r="M105" s="221"/>
      <c r="N105" s="221"/>
    </row>
    <row r="106" spans="1:14" x14ac:dyDescent="0.25">
      <c r="A106" s="221"/>
      <c r="B106" s="221"/>
      <c r="C106" s="221"/>
      <c r="D106" s="220"/>
      <c r="E106" s="221"/>
      <c r="F106" s="221"/>
      <c r="G106" s="221"/>
      <c r="H106" s="221"/>
      <c r="I106" s="221"/>
      <c r="J106" s="221"/>
      <c r="K106" s="221"/>
      <c r="L106" s="221"/>
      <c r="M106" s="221"/>
      <c r="N106" s="221"/>
    </row>
    <row r="107" spans="1:14" x14ac:dyDescent="0.25">
      <c r="A107" s="221"/>
      <c r="B107" s="221"/>
      <c r="C107" s="221"/>
      <c r="D107" s="220"/>
      <c r="E107" s="221"/>
      <c r="F107" s="221"/>
      <c r="G107" s="221"/>
      <c r="H107" s="221"/>
      <c r="I107" s="221"/>
      <c r="J107" s="221"/>
      <c r="K107" s="221"/>
      <c r="L107" s="221"/>
      <c r="M107" s="221"/>
      <c r="N107" s="221"/>
    </row>
    <row r="108" spans="1:14" x14ac:dyDescent="0.25">
      <c r="A108" s="221"/>
      <c r="B108" s="221"/>
      <c r="C108" s="221"/>
      <c r="D108" s="220"/>
      <c r="E108" s="221"/>
      <c r="F108" s="221"/>
      <c r="G108" s="221"/>
      <c r="H108" s="221"/>
      <c r="I108" s="221"/>
      <c r="J108" s="221"/>
      <c r="K108" s="221"/>
      <c r="L108" s="221"/>
      <c r="M108" s="221"/>
      <c r="N108" s="221"/>
    </row>
    <row r="109" spans="1:14" x14ac:dyDescent="0.25">
      <c r="A109" s="221"/>
      <c r="B109" s="221"/>
      <c r="C109" s="221"/>
      <c r="D109" s="220"/>
      <c r="E109" s="221"/>
      <c r="F109" s="221"/>
      <c r="G109" s="221"/>
      <c r="H109" s="221"/>
      <c r="I109" s="221"/>
      <c r="J109" s="221"/>
      <c r="K109" s="221"/>
      <c r="L109" s="221"/>
      <c r="M109" s="221"/>
      <c r="N109" s="221"/>
    </row>
    <row r="110" spans="1:14" x14ac:dyDescent="0.25">
      <c r="A110" s="221"/>
      <c r="B110" s="221"/>
      <c r="C110" s="221"/>
      <c r="D110" s="220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</row>
    <row r="111" spans="1:14" x14ac:dyDescent="0.25">
      <c r="A111" s="221"/>
      <c r="B111" s="221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</row>
    <row r="112" spans="1:14" x14ac:dyDescent="0.25">
      <c r="A112" s="221"/>
      <c r="B112" s="221"/>
      <c r="C112" s="221"/>
      <c r="D112" s="221"/>
      <c r="E112" s="221"/>
      <c r="F112" s="221"/>
      <c r="G112" s="221"/>
      <c r="H112" s="221"/>
      <c r="I112" s="221"/>
      <c r="J112" s="221"/>
      <c r="K112" s="221"/>
      <c r="L112" s="221"/>
      <c r="M112" s="221"/>
      <c r="N112" s="221"/>
    </row>
    <row r="113" spans="1:14" x14ac:dyDescent="0.25">
      <c r="A113" s="221"/>
      <c r="B113" s="221"/>
      <c r="C113" s="221"/>
      <c r="D113" s="221"/>
      <c r="E113" s="221"/>
      <c r="F113" s="221"/>
      <c r="G113" s="221"/>
      <c r="H113" s="221"/>
      <c r="I113" s="221"/>
      <c r="J113" s="221"/>
      <c r="K113" s="221"/>
      <c r="L113" s="221"/>
      <c r="M113" s="221"/>
      <c r="N113" s="221"/>
    </row>
    <row r="114" spans="1:14" x14ac:dyDescent="0.25">
      <c r="A114" s="221"/>
      <c r="B114" s="221"/>
      <c r="C114" s="221"/>
      <c r="D114" s="221"/>
      <c r="E114" s="221"/>
      <c r="F114" s="221"/>
      <c r="G114" s="221"/>
      <c r="H114" s="221"/>
      <c r="I114" s="221"/>
      <c r="J114" s="221"/>
      <c r="K114" s="221"/>
      <c r="L114" s="221"/>
      <c r="M114" s="221"/>
      <c r="N114" s="221"/>
    </row>
    <row r="115" spans="1:14" x14ac:dyDescent="0.25">
      <c r="A115" s="221"/>
      <c r="B115" s="221"/>
      <c r="C115" s="221"/>
      <c r="D115" s="221"/>
      <c r="E115" s="221"/>
      <c r="F115" s="221"/>
      <c r="G115" s="221"/>
      <c r="H115" s="221"/>
      <c r="I115" s="221"/>
      <c r="J115" s="221"/>
      <c r="K115" s="221"/>
      <c r="L115" s="221"/>
      <c r="M115" s="221"/>
      <c r="N115" s="221"/>
    </row>
  </sheetData>
  <mergeCells count="119">
    <mergeCell ref="L62:L64"/>
    <mergeCell ref="A62:C64"/>
    <mergeCell ref="A51:C55"/>
    <mergeCell ref="A56:C61"/>
    <mergeCell ref="A43:C50"/>
    <mergeCell ref="A40:C42"/>
    <mergeCell ref="D34:F34"/>
    <mergeCell ref="D35:F35"/>
    <mergeCell ref="D42:F42"/>
    <mergeCell ref="D44:F44"/>
    <mergeCell ref="D50:F50"/>
    <mergeCell ref="D45:F45"/>
    <mergeCell ref="D60:F60"/>
    <mergeCell ref="D49:F49"/>
    <mergeCell ref="D46:F46"/>
    <mergeCell ref="L30:L36"/>
    <mergeCell ref="A16:C21"/>
    <mergeCell ref="D23:F23"/>
    <mergeCell ref="D24:F24"/>
    <mergeCell ref="D26:F26"/>
    <mergeCell ref="D27:F27"/>
    <mergeCell ref="D48:F48"/>
    <mergeCell ref="D52:F52"/>
    <mergeCell ref="D33:F33"/>
    <mergeCell ref="A37:C39"/>
    <mergeCell ref="A30:C36"/>
    <mergeCell ref="A25:C29"/>
    <mergeCell ref="G3:I3"/>
    <mergeCell ref="G4:I4"/>
    <mergeCell ref="G5:I5"/>
    <mergeCell ref="J3:L3"/>
    <mergeCell ref="J4:L4"/>
    <mergeCell ref="J5:L5"/>
    <mergeCell ref="K7:K8"/>
    <mergeCell ref="L7:L8"/>
    <mergeCell ref="K28:K29"/>
    <mergeCell ref="L28:L29"/>
    <mergeCell ref="K9:K12"/>
    <mergeCell ref="L9:L12"/>
    <mergeCell ref="L25:L27"/>
    <mergeCell ref="K22:K24"/>
    <mergeCell ref="L22:L24"/>
    <mergeCell ref="L18:L21"/>
    <mergeCell ref="L16:L17"/>
    <mergeCell ref="K16:K17"/>
    <mergeCell ref="K18:K21"/>
    <mergeCell ref="K25:K27"/>
    <mergeCell ref="A7:C8"/>
    <mergeCell ref="D32:F32"/>
    <mergeCell ref="D28:F28"/>
    <mergeCell ref="A65:C67"/>
    <mergeCell ref="D7:F7"/>
    <mergeCell ref="D8:F8"/>
    <mergeCell ref="D10:F10"/>
    <mergeCell ref="D11:F11"/>
    <mergeCell ref="D13:F13"/>
    <mergeCell ref="D12:F12"/>
    <mergeCell ref="D14:F14"/>
    <mergeCell ref="D17:F17"/>
    <mergeCell ref="D18:F18"/>
    <mergeCell ref="D19:F19"/>
    <mergeCell ref="D21:F21"/>
    <mergeCell ref="D29:F29"/>
    <mergeCell ref="D31:F31"/>
    <mergeCell ref="A22:C24"/>
    <mergeCell ref="D20:F20"/>
    <mergeCell ref="A9:C15"/>
    <mergeCell ref="D9:F9"/>
    <mergeCell ref="D62:F62"/>
    <mergeCell ref="D25:F25"/>
    <mergeCell ref="D22:F22"/>
    <mergeCell ref="G2:L2"/>
    <mergeCell ref="D53:F53"/>
    <mergeCell ref="D54:F54"/>
    <mergeCell ref="D55:F55"/>
    <mergeCell ref="D57:F57"/>
    <mergeCell ref="D58:F58"/>
    <mergeCell ref="D61:F61"/>
    <mergeCell ref="D63:F63"/>
    <mergeCell ref="D64:F64"/>
    <mergeCell ref="D36:F36"/>
    <mergeCell ref="D38:F38"/>
    <mergeCell ref="D41:F41"/>
    <mergeCell ref="K37:K39"/>
    <mergeCell ref="K40:K42"/>
    <mergeCell ref="D59:F59"/>
    <mergeCell ref="K56:K58"/>
    <mergeCell ref="K59:K61"/>
    <mergeCell ref="L56:L58"/>
    <mergeCell ref="L59:L61"/>
    <mergeCell ref="A2:F5"/>
    <mergeCell ref="K51:K55"/>
    <mergeCell ref="A6:C6"/>
    <mergeCell ref="D6:F6"/>
    <mergeCell ref="D39:F39"/>
    <mergeCell ref="D15:F15"/>
    <mergeCell ref="K13:K14"/>
    <mergeCell ref="K30:K36"/>
    <mergeCell ref="D56:F56"/>
    <mergeCell ref="D51:F51"/>
    <mergeCell ref="D43:F43"/>
    <mergeCell ref="L37:L39"/>
    <mergeCell ref="D67:F67"/>
    <mergeCell ref="D65:F65"/>
    <mergeCell ref="D66:F66"/>
    <mergeCell ref="D47:F47"/>
    <mergeCell ref="K65:K67"/>
    <mergeCell ref="L65:L67"/>
    <mergeCell ref="L51:L55"/>
    <mergeCell ref="K49:K50"/>
    <mergeCell ref="K43:K48"/>
    <mergeCell ref="L43:L48"/>
    <mergeCell ref="L49:L50"/>
    <mergeCell ref="L40:L42"/>
    <mergeCell ref="D40:F40"/>
    <mergeCell ref="D37:F37"/>
    <mergeCell ref="D30:F30"/>
    <mergeCell ref="D16:F16"/>
    <mergeCell ref="K62:K6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</vt:i4>
      </vt:variant>
    </vt:vector>
  </HeadingPairs>
  <TitlesOfParts>
    <vt:vector size="20" baseType="lpstr">
      <vt:lpstr>Mercado</vt:lpstr>
      <vt:lpstr>Producto</vt:lpstr>
      <vt:lpstr>Localización</vt:lpstr>
      <vt:lpstr>Producción</vt:lpstr>
      <vt:lpstr>Planificador de proyectos</vt:lpstr>
      <vt:lpstr>Tabla de procesos</vt:lpstr>
      <vt:lpstr>Plan de Producción</vt:lpstr>
      <vt:lpstr>Procedimiento Principal</vt:lpstr>
      <vt:lpstr>Planilla de inspección</vt:lpstr>
      <vt:lpstr>Inversiones</vt:lpstr>
      <vt:lpstr>Costos MP</vt:lpstr>
      <vt:lpstr>Costos Energía</vt:lpstr>
      <vt:lpstr>Costo Salarial</vt:lpstr>
      <vt:lpstr>Costos Totales</vt:lpstr>
      <vt:lpstr>Punto de Equilibrio</vt:lpstr>
      <vt:lpstr>Unidades de Negocio</vt:lpstr>
      <vt:lpstr>Estudio Financiero</vt:lpstr>
      <vt:lpstr>period_selected</vt:lpstr>
      <vt:lpstr>TitleRegion..BO60</vt:lpstr>
      <vt:lpstr>'Planificador de proyectos'!Títulos_a_imprimir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Rodrigo Etcheto</cp:lastModifiedBy>
  <dcterms:created xsi:type="dcterms:W3CDTF">2015-06-05T18:19:34Z</dcterms:created>
  <dcterms:modified xsi:type="dcterms:W3CDTF">2020-10-30T01:50:49Z</dcterms:modified>
</cp:coreProperties>
</file>