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  <sheet state="visible" name="Puesta a tierra" sheetId="2" r:id="rId5"/>
    <sheet state="visible" name="FP" sheetId="3" r:id="rId6"/>
  </sheets>
  <definedNames/>
  <calcPr/>
  <extLst>
    <ext uri="GoogleSheetsCustomDataVersion2">
      <go:sheetsCustomData xmlns:go="http://customooxmlschemas.google.com/" r:id="rId7" roundtripDataChecksum="DrEBj+1GHCbH2JzmOSlcv/Fk5ZP1jVpxymsko965YSA="/>
    </ext>
  </extLst>
</workbook>
</file>

<file path=xl/sharedStrings.xml><?xml version="1.0" encoding="utf-8"?>
<sst xmlns="http://schemas.openxmlformats.org/spreadsheetml/2006/main" count="316" uniqueCount="147">
  <si>
    <t>MÁQUINAS</t>
  </si>
  <si>
    <t>Ref.</t>
  </si>
  <si>
    <t>Máquina</t>
  </si>
  <si>
    <t>Resistencia [Ω]</t>
  </si>
  <si>
    <t>Reactancia [Ω]</t>
  </si>
  <si>
    <t>Impedancia [Ω]</t>
  </si>
  <si>
    <t>Corriente de Cortocircuito [A]</t>
  </si>
  <si>
    <t>Nombre</t>
  </si>
  <si>
    <t>Potencia de Cortocircuito [MVA]</t>
  </si>
  <si>
    <t>X' [Ω]</t>
  </si>
  <si>
    <t>R' [Ω]</t>
  </si>
  <si>
    <t>X [Ω]</t>
  </si>
  <si>
    <t>R [Ω]</t>
  </si>
  <si>
    <t>A</t>
  </si>
  <si>
    <t xml:space="preserve">Cabina de pintura </t>
  </si>
  <si>
    <t>Red</t>
  </si>
  <si>
    <t>B</t>
  </si>
  <si>
    <t>Plasma CNC</t>
  </si>
  <si>
    <t>C</t>
  </si>
  <si>
    <t>Agujereadora grande</t>
  </si>
  <si>
    <t>Tramo</t>
  </si>
  <si>
    <t>Sección [mm2]</t>
  </si>
  <si>
    <t>Resistencia [Ω/km]</t>
  </si>
  <si>
    <t>Reactancia [Ω/km]</t>
  </si>
  <si>
    <t>Longitud [m]</t>
  </si>
  <si>
    <t>D</t>
  </si>
  <si>
    <t>Soldadora MAG</t>
  </si>
  <si>
    <t>Transformador Subestación - Tablero de acometida</t>
  </si>
  <si>
    <t>3x95 / 1x50</t>
  </si>
  <si>
    <t>E</t>
  </si>
  <si>
    <t>Soldadora MMA</t>
  </si>
  <si>
    <t>Tablero de acometida- Tablero Principal</t>
  </si>
  <si>
    <t>3x70/ 1x35</t>
  </si>
  <si>
    <t>F</t>
  </si>
  <si>
    <t>Roladora</t>
  </si>
  <si>
    <t>Tablero principal - Tablero 1</t>
  </si>
  <si>
    <t>4x4</t>
  </si>
  <si>
    <t>G</t>
  </si>
  <si>
    <t>Sensitiva</t>
  </si>
  <si>
    <t>4x2,5</t>
  </si>
  <si>
    <t>H</t>
  </si>
  <si>
    <t>Compresor a tornillo</t>
  </si>
  <si>
    <t>Tablero principal - Tablero 2</t>
  </si>
  <si>
    <t>Tablero 2 - motor montacargas</t>
  </si>
  <si>
    <t>Tablero principal - Tablero 5</t>
  </si>
  <si>
    <t>Tablero 5 - Cabina de pintura</t>
  </si>
  <si>
    <t>4x1,5</t>
  </si>
  <si>
    <t>Tablero principal - Tablero 6</t>
  </si>
  <si>
    <t>Tablero principal - Tablero 7</t>
  </si>
  <si>
    <t>Tablero principal - Tablero 8</t>
  </si>
  <si>
    <t xml:space="preserve">4x10 </t>
  </si>
  <si>
    <t>.</t>
  </si>
  <si>
    <t>4x6</t>
  </si>
  <si>
    <t>Cálculo a tableros</t>
  </si>
  <si>
    <t>Tablero principal - Tablero 9</t>
  </si>
  <si>
    <t>Corriente de Cortocircuito</t>
  </si>
  <si>
    <t>Tablero Principal</t>
  </si>
  <si>
    <t>Tablero principal - Tablero 10</t>
  </si>
  <si>
    <t>Tablero 1</t>
  </si>
  <si>
    <t>Tablero 2</t>
  </si>
  <si>
    <t>Tablero principal - Tablero 12</t>
  </si>
  <si>
    <t>Tablero 5</t>
  </si>
  <si>
    <t>Tablero 6</t>
  </si>
  <si>
    <t>Tablero principal - Tablero 13</t>
  </si>
  <si>
    <t>Tablero 7</t>
  </si>
  <si>
    <t>Tablero 8</t>
  </si>
  <si>
    <t>Tablero principal - Tablero 15</t>
  </si>
  <si>
    <t>Tablero 9</t>
  </si>
  <si>
    <t>Tablero principal - Tablero 17</t>
  </si>
  <si>
    <t>Tablero 10</t>
  </si>
  <si>
    <t>Tablero principal - Tablero 19</t>
  </si>
  <si>
    <t>3x2,5</t>
  </si>
  <si>
    <t>Tablero 12</t>
  </si>
  <si>
    <t>Tablero principal - Tablero 16</t>
  </si>
  <si>
    <t>Tablero 13</t>
  </si>
  <si>
    <t>Tablero 15</t>
  </si>
  <si>
    <t>Tablero 17</t>
  </si>
  <si>
    <t>Tablero 19</t>
  </si>
  <si>
    <t>Tablero 16</t>
  </si>
  <si>
    <t>Transformador de Distribución
Relación 13.200 ±2 x 2,5%/0,4400-231 kV/kV</t>
  </si>
  <si>
    <t>Pn [VA]</t>
  </si>
  <si>
    <t>Pcc [W]</t>
  </si>
  <si>
    <t>ur</t>
  </si>
  <si>
    <t>uk</t>
  </si>
  <si>
    <t>ux</t>
  </si>
  <si>
    <t>Z [Ω]</t>
  </si>
  <si>
    <t>Sección del conductor [mm2]</t>
  </si>
  <si>
    <t>Corriente de cortocircuito máxima [A]</t>
  </si>
  <si>
    <t>Tiempo de cortocircuito máximo admisible [s]</t>
  </si>
  <si>
    <t>Tablero</t>
  </si>
  <si>
    <t>Conductor de fase [mm2]</t>
  </si>
  <si>
    <t>2,5</t>
  </si>
  <si>
    <t>Tablero 1 - Tomacorrientes</t>
  </si>
  <si>
    <t>Tablero 2 - Montacargas</t>
  </si>
  <si>
    <t>N/A</t>
  </si>
  <si>
    <t>Tablero principal - Tablero 3</t>
  </si>
  <si>
    <t>Tablero 3 - Tomacorrientes</t>
  </si>
  <si>
    <t>Tablero principal - Tablero 4</t>
  </si>
  <si>
    <t>Tablero 4 - Horno de curado</t>
  </si>
  <si>
    <t>1,5</t>
  </si>
  <si>
    <t>Tablero 5 - Equipo de aplicación</t>
  </si>
  <si>
    <t>Tablero 6 - Soldadora MAG</t>
  </si>
  <si>
    <t>Tablero 7 - Futuro torno</t>
  </si>
  <si>
    <t>Tablero 8 - Plasma CNC</t>
  </si>
  <si>
    <t>Tablero 9 - Futuro router CNC</t>
  </si>
  <si>
    <t>Tablero 10 - Agujereadora chica</t>
  </si>
  <si>
    <t>Tablero 10 - Agujereadora grande</t>
  </si>
  <si>
    <t>Tablero 10 - Futura plegadora</t>
  </si>
  <si>
    <t>Tablero principal - Tablero 11</t>
  </si>
  <si>
    <t>Tablero 11 - Soldadora MMA</t>
  </si>
  <si>
    <t>Tablero 12 - Roladora</t>
  </si>
  <si>
    <t>Tablero 13 - Sensitiva</t>
  </si>
  <si>
    <t>Tablero 13 - Sierra cinta</t>
  </si>
  <si>
    <t>Tablero principal - Tablero 14</t>
  </si>
  <si>
    <t>Tablero 14 - Tomacorrientes</t>
  </si>
  <si>
    <t>Tablero 15 - Compresor a tornillo</t>
  </si>
  <si>
    <t>Tablero 15 - Secador de aire</t>
  </si>
  <si>
    <t>Tablero 16 - Tomacorrientes</t>
  </si>
  <si>
    <t>Tablero 17 - Tablero 18</t>
  </si>
  <si>
    <t>Tablero 18 - Tomacorrientes</t>
  </si>
  <si>
    <t>Tablero 17 - Tablero 19</t>
  </si>
  <si>
    <t>Tablero 19 - Tomacorrientes</t>
  </si>
  <si>
    <t>Tablero 17 - Tablero 20</t>
  </si>
  <si>
    <t>Tablero 20 - Tomacorrientes</t>
  </si>
  <si>
    <t>Tablero 17 - Tablero 21</t>
  </si>
  <si>
    <t>Tablero 21 - Tomacorrientes</t>
  </si>
  <si>
    <t>Tablero 17 - Tablero 22</t>
  </si>
  <si>
    <t>Tablero 22 - Tomacorrientes</t>
  </si>
  <si>
    <t>Equipo</t>
  </si>
  <si>
    <t>Potencia Activa [kW]</t>
  </si>
  <si>
    <t>Factor de Potencia</t>
  </si>
  <si>
    <t>Potencia Reactiva [kVAr]</t>
  </si>
  <si>
    <t>Iluminación (oficinas + producción)</t>
  </si>
  <si>
    <t>Horno de curado</t>
  </si>
  <si>
    <t>Cabina de pintura</t>
  </si>
  <si>
    <t>Equipo de aplicación de pintura</t>
  </si>
  <si>
    <t>Soldadora</t>
  </si>
  <si>
    <t>Agujereadora</t>
  </si>
  <si>
    <t>Futura plegadora hidráulica</t>
  </si>
  <si>
    <t>Sierra cinta</t>
  </si>
  <si>
    <t>Secador de aire</t>
  </si>
  <si>
    <t>PC escritorio</t>
  </si>
  <si>
    <t>Aire acondicionado Split</t>
  </si>
  <si>
    <t>Potencia Activa total [kW]</t>
  </si>
  <si>
    <t>Potencia Reactiva total [kVAr]</t>
  </si>
  <si>
    <t>Factor de Potencia corregido</t>
  </si>
  <si>
    <t>Potencia Reactiva corregida [kVAr]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</si>
</sst>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0.000"/>
    <numFmt numFmtId="165" formatCode="0.0000000"/>
    <numFmt numFmtId="166" formatCode="0.0000"/>
    <numFmt numFmtId="167" formatCode="0.0"/>
  </numFmts>
  <fonts count="12">
    <font>
      <sz val="10.0"/>
      <color rgb="FF000000"/>
      <name val="Arial"/>
      <scheme val="minor"/>
    </font>
    <font>
      <sz val="10.0"/>
      <color theme="1"/>
      <name val="Arial"/>
    </font>
    <font>
      <b/>
      <i/>
      <sz val="12.0"/>
      <color theme="1"/>
      <name val="Arial"/>
    </font>
    <font>
      <b/>
      <i/>
      <sz val="10.0"/>
      <color theme="1"/>
      <name val="Arial"/>
    </font>
    <font>
      <sz val="11.0"/>
      <color theme="1"/>
      <name val="Arial"/>
    </font>
    <font>
      <sz val="12.0"/>
      <color theme="1"/>
      <name val="Arial"/>
    </font>
    <font>
      <sz val="12.0"/>
      <color rgb="FF000000"/>
      <name val="Arial"/>
    </font>
    <font>
      <sz val="10.0"/>
      <color rgb="FF000000"/>
      <name val="Arial"/>
    </font>
    <font/>
    <font>
      <b/>
      <i/>
      <sz val="12.0"/>
      <color rgb="FF000000"/>
      <name val="Arial"/>
    </font>
    <font>
      <sz val="11.0"/>
      <color rgb="FF000000"/>
      <name val="Arial"/>
    </font>
    <font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rgb="FFD1F1DA"/>
        <bgColor rgb="FFD1F1DA"/>
      </patternFill>
    </fill>
  </fills>
  <borders count="37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right style="thin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0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wrapText="1"/>
    </xf>
    <xf borderId="1" fillId="2" fontId="2" numFmtId="0" xfId="0" applyAlignment="1" applyBorder="1" applyFill="1" applyFont="1">
      <alignment horizontal="center" shrinkToFit="0" vertical="center" wrapText="1"/>
    </xf>
    <xf borderId="2" fillId="2" fontId="2" numFmtId="0" xfId="0" applyAlignment="1" applyBorder="1" applyFont="1">
      <alignment horizontal="center" shrinkToFit="0" vertical="center" wrapText="1"/>
    </xf>
    <xf borderId="1" fillId="2" fontId="3" numFmtId="0" xfId="0" applyAlignment="1" applyBorder="1" applyFont="1">
      <alignment horizontal="center" shrinkToFit="0" wrapText="1"/>
    </xf>
    <xf borderId="1" fillId="2" fontId="2" numFmtId="0" xfId="0" applyAlignment="1" applyBorder="1" applyFont="1">
      <alignment horizontal="center" shrinkToFit="0" wrapText="1"/>
    </xf>
    <xf borderId="3" fillId="0" fontId="4" numFmtId="0" xfId="0" applyAlignment="1" applyBorder="1" applyFont="1">
      <alignment shrinkToFit="0" wrapText="1"/>
    </xf>
    <xf borderId="4" fillId="0" fontId="4" numFmtId="0" xfId="0" applyAlignment="1" applyBorder="1" applyFont="1">
      <alignment horizontal="left" shrinkToFit="0" vertical="center" wrapText="1"/>
    </xf>
    <xf borderId="4" fillId="0" fontId="5" numFmtId="164" xfId="0" applyAlignment="1" applyBorder="1" applyFont="1" applyNumberFormat="1">
      <alignment horizontal="center" shrinkToFit="0" vertical="center" wrapText="1"/>
    </xf>
    <xf borderId="3" fillId="0" fontId="5" numFmtId="164" xfId="0" applyAlignment="1" applyBorder="1" applyFont="1" applyNumberFormat="1">
      <alignment horizontal="center" shrinkToFit="0" vertical="center" wrapText="1"/>
    </xf>
    <xf borderId="5" fillId="0" fontId="5" numFmtId="1" xfId="0" applyAlignment="1" applyBorder="1" applyFont="1" applyNumberFormat="1">
      <alignment horizontal="center" shrinkToFit="0" vertical="center" wrapText="1"/>
    </xf>
    <xf borderId="3" fillId="0" fontId="1" numFmtId="0" xfId="0" applyAlignment="1" applyBorder="1" applyFont="1">
      <alignment shrinkToFit="0" wrapText="1"/>
    </xf>
    <xf borderId="1" fillId="0" fontId="5" numFmtId="0" xfId="0" applyAlignment="1" applyBorder="1" applyFont="1">
      <alignment shrinkToFit="0" wrapText="1"/>
    </xf>
    <xf borderId="1" fillId="0" fontId="5" numFmtId="0" xfId="0" applyAlignment="1" applyBorder="1" applyFont="1">
      <alignment horizontal="center" shrinkToFit="0" vertical="center" wrapText="1"/>
    </xf>
    <xf borderId="1" fillId="0" fontId="5" numFmtId="165" xfId="0" applyAlignment="1" applyBorder="1" applyFont="1" applyNumberFormat="1">
      <alignment horizontal="center" shrinkToFit="0" vertical="center" wrapText="1"/>
    </xf>
    <xf borderId="1" fillId="3" fontId="6" numFmtId="165" xfId="0" applyAlignment="1" applyBorder="1" applyFill="1" applyFont="1" applyNumberFormat="1">
      <alignment horizontal="center" shrinkToFit="0" vertical="center" wrapText="1"/>
    </xf>
    <xf borderId="1" fillId="0" fontId="6" numFmtId="165" xfId="0" applyAlignment="1" applyBorder="1" applyFont="1" applyNumberFormat="1">
      <alignment horizontal="center" shrinkToFit="0" vertical="center" wrapText="1"/>
    </xf>
    <xf borderId="4" fillId="0" fontId="4" numFmtId="0" xfId="0" applyAlignment="1" applyBorder="1" applyFont="1">
      <alignment shrinkToFit="0" wrapText="1"/>
    </xf>
    <xf borderId="6" fillId="0" fontId="4" numFmtId="0" xfId="0" applyAlignment="1" applyBorder="1" applyFont="1">
      <alignment horizontal="left" shrinkToFit="0" vertical="center" wrapText="1"/>
    </xf>
    <xf borderId="7" fillId="0" fontId="5" numFmtId="1" xfId="0" applyAlignment="1" applyBorder="1" applyFont="1" applyNumberFormat="1">
      <alignment horizontal="center" shrinkToFit="0" vertical="center" wrapText="1"/>
    </xf>
    <xf borderId="8" fillId="0" fontId="5" numFmtId="0" xfId="0" applyAlignment="1" applyBorder="1" applyFont="1">
      <alignment shrinkToFit="0" vertical="center" wrapText="1"/>
    </xf>
    <xf borderId="3" fillId="0" fontId="5" numFmtId="0" xfId="0" applyAlignment="1" applyBorder="1" applyFont="1">
      <alignment horizontal="center" vertical="center"/>
    </xf>
    <xf borderId="3" fillId="0" fontId="5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9" fillId="0" fontId="5" numFmtId="11" xfId="0" applyAlignment="1" applyBorder="1" applyFont="1" applyNumberFormat="1">
      <alignment shrinkToFit="0" vertical="center" wrapText="1"/>
    </xf>
    <xf borderId="4" fillId="0" fontId="5" numFmtId="4" xfId="0" applyAlignment="1" applyBorder="1" applyFont="1" applyNumberFormat="1">
      <alignment horizontal="center" shrinkToFit="0" vertical="center" wrapText="1"/>
    </xf>
    <xf borderId="4" fillId="0" fontId="5" numFmtId="0" xfId="0" applyAlignment="1" applyBorder="1" applyFont="1">
      <alignment horizontal="center" shrinkToFit="0" vertical="center" wrapText="1"/>
    </xf>
    <xf borderId="7" fillId="0" fontId="5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horizontal="center" vertical="center"/>
    </xf>
    <xf borderId="10" fillId="0" fontId="4" numFmtId="0" xfId="0" applyAlignment="1" applyBorder="1" applyFont="1">
      <alignment shrinkToFit="0" wrapText="1"/>
    </xf>
    <xf borderId="4" fillId="0" fontId="7" numFmtId="0" xfId="0" applyBorder="1" applyFont="1"/>
    <xf borderId="11" fillId="0" fontId="5" numFmtId="164" xfId="0" applyAlignment="1" applyBorder="1" applyFont="1" applyNumberFormat="1">
      <alignment horizontal="center" shrinkToFit="0" vertical="center" wrapText="1"/>
    </xf>
    <xf borderId="9" fillId="0" fontId="4" numFmtId="0" xfId="0" applyAlignment="1" applyBorder="1" applyFont="1">
      <alignment horizontal="left" shrinkToFit="0" vertical="center" wrapText="1"/>
    </xf>
    <xf borderId="9" fillId="0" fontId="5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shrinkToFit="0" vertical="center" wrapText="1"/>
    </xf>
    <xf borderId="12" fillId="0" fontId="5" numFmtId="4" xfId="0" applyAlignment="1" applyBorder="1" applyFont="1" applyNumberFormat="1">
      <alignment horizontal="center" shrinkToFit="0" vertical="center" wrapText="1"/>
    </xf>
    <xf borderId="12" fillId="0" fontId="5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 shrinkToFit="0" vertical="center" wrapText="1"/>
    </xf>
    <xf borderId="14" fillId="0" fontId="5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shrinkToFit="0" vertical="center" wrapText="1"/>
    </xf>
    <xf borderId="15" fillId="0" fontId="5" numFmtId="164" xfId="0" applyAlignment="1" applyBorder="1" applyFont="1" applyNumberFormat="1">
      <alignment horizontal="center" shrinkToFit="0" vertical="center" wrapText="1"/>
    </xf>
    <xf borderId="16" fillId="0" fontId="5" numFmtId="1" xfId="0" applyAlignment="1" applyBorder="1" applyFont="1" applyNumberFormat="1">
      <alignment horizontal="center" shrinkToFit="0" vertical="center" wrapText="1"/>
    </xf>
    <xf borderId="0" fillId="0" fontId="1" numFmtId="0" xfId="0" applyFont="1"/>
    <xf borderId="17" fillId="0" fontId="3" numFmtId="0" xfId="0" applyBorder="1" applyFont="1"/>
    <xf borderId="18" fillId="0" fontId="8" numFmtId="0" xfId="0" applyBorder="1" applyFont="1"/>
    <xf borderId="19" fillId="0" fontId="8" numFmtId="0" xfId="0" applyBorder="1" applyFont="1"/>
    <xf borderId="20" fillId="2" fontId="2" numFmtId="0" xfId="0" applyAlignment="1" applyBorder="1" applyFont="1">
      <alignment horizontal="center" shrinkToFit="0" vertical="center" wrapText="1"/>
    </xf>
    <xf borderId="21" fillId="2" fontId="2" numFmtId="0" xfId="0" applyAlignment="1" applyBorder="1" applyFont="1">
      <alignment horizontal="center" shrinkToFit="0" vertical="center" wrapText="1"/>
    </xf>
    <xf borderId="22" fillId="2" fontId="2" numFmtId="0" xfId="0" applyAlignment="1" applyBorder="1" applyFont="1">
      <alignment horizontal="center" shrinkToFit="0" vertical="center" wrapText="1"/>
    </xf>
    <xf borderId="9" fillId="0" fontId="5" numFmtId="164" xfId="0" applyAlignment="1" applyBorder="1" applyFont="1" applyNumberFormat="1">
      <alignment horizontal="left" shrinkToFit="0" vertical="center" wrapText="1"/>
    </xf>
    <xf borderId="23" fillId="0" fontId="1" numFmtId="0" xfId="0" applyAlignment="1" applyBorder="1" applyFont="1">
      <alignment shrinkToFit="0" wrapText="1"/>
    </xf>
    <xf borderId="24" fillId="0" fontId="5" numFmtId="11" xfId="0" applyAlignment="1" applyBorder="1" applyFont="1" applyNumberFormat="1">
      <alignment shrinkToFit="0" vertical="center" wrapText="1"/>
    </xf>
    <xf borderId="6" fillId="0" fontId="5" numFmtId="0" xfId="0" applyAlignment="1" applyBorder="1" applyFont="1">
      <alignment horizontal="center" vertical="center"/>
    </xf>
    <xf borderId="6" fillId="0" fontId="5" numFmtId="0" xfId="0" applyAlignment="1" applyBorder="1" applyFont="1">
      <alignment horizontal="center" shrinkToFit="0" vertical="center" wrapText="1"/>
    </xf>
    <xf borderId="25" fillId="0" fontId="5" numFmtId="0" xfId="0" applyAlignment="1" applyBorder="1" applyFont="1">
      <alignment horizontal="center" shrinkToFit="0" vertical="center" wrapText="1"/>
    </xf>
    <xf borderId="14" fillId="0" fontId="5" numFmtId="11" xfId="0" applyAlignment="1" applyBorder="1" applyFont="1" applyNumberFormat="1">
      <alignment shrinkToFit="0" vertical="center" wrapText="1"/>
    </xf>
    <xf borderId="15" fillId="0" fontId="5" numFmtId="4" xfId="0" applyAlignment="1" applyBorder="1" applyFont="1" applyNumberFormat="1">
      <alignment horizontal="center" shrinkToFit="0" vertical="center" wrapText="1"/>
    </xf>
    <xf borderId="15" fillId="0" fontId="5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center" shrinkToFit="0" vertical="center" wrapText="1"/>
    </xf>
    <xf borderId="26" fillId="0" fontId="5" numFmtId="164" xfId="0" applyAlignment="1" applyBorder="1" applyFont="1" applyNumberFormat="1">
      <alignment horizontal="left" shrinkToFit="0" vertical="center" wrapText="1"/>
    </xf>
    <xf borderId="27" fillId="0" fontId="5" numFmtId="164" xfId="0" applyAlignment="1" applyBorder="1" applyFont="1" applyNumberFormat="1">
      <alignment horizontal="center" shrinkToFit="0" vertical="center" wrapText="1"/>
    </xf>
    <xf borderId="28" fillId="0" fontId="5" numFmtId="1" xfId="0" applyAlignment="1" applyBorder="1" applyFont="1" applyNumberFormat="1">
      <alignment horizontal="center" shrinkToFit="0" vertical="center" wrapText="1"/>
    </xf>
    <xf borderId="29" fillId="2" fontId="2" numFmtId="0" xfId="0" applyAlignment="1" applyBorder="1" applyFont="1">
      <alignment horizontal="center" shrinkToFit="0" vertical="center" wrapText="1"/>
    </xf>
    <xf borderId="30" fillId="0" fontId="8" numFmtId="0" xfId="0" applyBorder="1" applyFont="1"/>
    <xf borderId="1" fillId="0" fontId="5" numFmtId="166" xfId="0" applyAlignment="1" applyBorder="1" applyFont="1" applyNumberFormat="1">
      <alignment horizontal="center" shrinkToFit="0" vertical="center" wrapText="1"/>
    </xf>
    <xf borderId="1" fillId="3" fontId="6" numFmtId="166" xfId="0" applyAlignment="1" applyBorder="1" applyFont="1" applyNumberFormat="1">
      <alignment horizontal="center" shrinkToFit="0" vertical="center" wrapText="1"/>
    </xf>
    <xf borderId="1" fillId="0" fontId="5" numFmtId="166" xfId="0" applyAlignment="1" applyBorder="1" applyFont="1" applyNumberFormat="1">
      <alignment horizontal="center" vertical="center"/>
    </xf>
    <xf borderId="31" fillId="0" fontId="5" numFmtId="0" xfId="0" applyAlignment="1" applyBorder="1" applyFont="1">
      <alignment shrinkToFit="0" wrapText="1"/>
    </xf>
    <xf borderId="32" fillId="0" fontId="8" numFmtId="0" xfId="0" applyBorder="1" applyFont="1"/>
    <xf borderId="1" fillId="3" fontId="6" numFmtId="166" xfId="0" applyAlignment="1" applyBorder="1" applyFont="1" applyNumberFormat="1">
      <alignment horizontal="center" vertical="center"/>
    </xf>
    <xf borderId="33" fillId="2" fontId="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8" fillId="0" fontId="4" numFmtId="0" xfId="0" applyAlignment="1" applyBorder="1" applyFont="1">
      <alignment shrinkToFit="0" wrapText="1"/>
    </xf>
    <xf borderId="4" fillId="0" fontId="5" numFmtId="167" xfId="0" applyAlignment="1" applyBorder="1" applyFont="1" applyNumberFormat="1">
      <alignment horizontal="center" shrinkToFit="0" vertical="center" wrapText="1"/>
    </xf>
    <xf borderId="4" fillId="0" fontId="5" numFmtId="1" xfId="0" applyAlignment="1" applyBorder="1" applyFont="1" applyNumberFormat="1">
      <alignment horizontal="center" shrinkToFit="0" vertical="center" wrapText="1"/>
    </xf>
    <xf borderId="34" fillId="0" fontId="5" numFmtId="164" xfId="0" applyAlignment="1" applyBorder="1" applyFont="1" applyNumberFormat="1">
      <alignment horizontal="center" shrinkToFit="0" vertical="center" wrapText="1"/>
    </xf>
    <xf borderId="0" fillId="0" fontId="5" numFmtId="1" xfId="0" applyAlignment="1" applyFont="1" applyNumberFormat="1">
      <alignment horizontal="center" shrinkToFit="0" vertical="center" wrapText="1"/>
    </xf>
    <xf borderId="7" fillId="0" fontId="5" numFmtId="164" xfId="0" applyAlignment="1" applyBorder="1" applyFont="1" applyNumberFormat="1">
      <alignment horizontal="center" shrinkToFit="0" vertical="center" wrapText="1"/>
    </xf>
    <xf borderId="9" fillId="0" fontId="4" numFmtId="0" xfId="0" applyAlignment="1" applyBorder="1" applyFont="1">
      <alignment shrinkToFit="0" wrapText="1"/>
    </xf>
    <xf borderId="10" fillId="0" fontId="5" numFmtId="1" xfId="0" applyAlignment="1" applyBorder="1" applyFont="1" applyNumberFormat="1">
      <alignment horizontal="center" shrinkToFit="0" vertical="center" wrapText="1"/>
    </xf>
    <xf borderId="14" fillId="0" fontId="4" numFmtId="0" xfId="0" applyAlignment="1" applyBorder="1" applyFont="1">
      <alignment shrinkToFit="0" wrapText="1"/>
    </xf>
    <xf borderId="15" fillId="0" fontId="4" numFmtId="0" xfId="0" applyAlignment="1" applyBorder="1" applyFont="1">
      <alignment horizontal="left" shrinkToFit="0" vertical="center" wrapText="1"/>
    </xf>
    <xf borderId="15" fillId="0" fontId="5" numFmtId="167" xfId="0" applyAlignment="1" applyBorder="1" applyFont="1" applyNumberFormat="1">
      <alignment horizontal="center" shrinkToFit="0" vertical="center" wrapText="1"/>
    </xf>
    <xf borderId="35" fillId="0" fontId="5" numFmtId="1" xfId="0" applyAlignment="1" applyBorder="1" applyFont="1" applyNumberFormat="1">
      <alignment horizontal="center" shrinkToFit="0" vertical="center" wrapText="1"/>
    </xf>
    <xf borderId="16" fillId="0" fontId="5" numFmtId="164" xfId="0" applyAlignment="1" applyBorder="1" applyFont="1" applyNumberFormat="1">
      <alignment horizontal="center" shrinkToFit="0" vertical="center" wrapText="1"/>
    </xf>
    <xf borderId="24" fillId="0" fontId="5" numFmtId="164" xfId="0" applyAlignment="1" applyBorder="1" applyFont="1" applyNumberFormat="1">
      <alignment horizontal="left" shrinkToFit="0" vertical="center" wrapText="1"/>
    </xf>
    <xf borderId="6" fillId="0" fontId="5" numFmtId="167" xfId="0" applyAlignment="1" applyBorder="1" applyFont="1" applyNumberFormat="1">
      <alignment horizontal="center" shrinkToFit="0" vertical="center" wrapText="1"/>
    </xf>
    <xf borderId="6" fillId="0" fontId="5" numFmtId="1" xfId="0" applyAlignment="1" applyBorder="1" applyFont="1" applyNumberFormat="1">
      <alignment horizontal="center" shrinkToFit="0" vertical="center" wrapText="1"/>
    </xf>
    <xf borderId="25" fillId="0" fontId="5" numFmtId="164" xfId="0" applyAlignment="1" applyBorder="1" applyFont="1" applyNumberFormat="1">
      <alignment horizontal="center" shrinkToFit="0" vertical="center" wrapText="1"/>
    </xf>
    <xf borderId="14" fillId="0" fontId="5" numFmtId="164" xfId="0" applyAlignment="1" applyBorder="1" applyFont="1" applyNumberFormat="1">
      <alignment horizontal="left" shrinkToFit="0" vertical="center" wrapText="1"/>
    </xf>
    <xf borderId="15" fillId="0" fontId="5" numFmtId="1" xfId="0" applyAlignment="1" applyBorder="1" applyFont="1" applyNumberFormat="1">
      <alignment horizontal="center" shrinkToFit="0" vertical="center" wrapText="1"/>
    </xf>
    <xf borderId="4" fillId="2" fontId="9" numFmtId="0" xfId="0" applyAlignment="1" applyBorder="1" applyFont="1">
      <alignment horizontal="center" readingOrder="0" shrinkToFit="0" vertical="center" wrapText="1"/>
    </xf>
    <xf borderId="11" fillId="2" fontId="9" numFmtId="0" xfId="0" applyAlignment="1" applyBorder="1" applyFont="1">
      <alignment horizontal="center" readingOrder="0" shrinkToFit="0" vertical="center" wrapText="1"/>
    </xf>
    <xf borderId="3" fillId="0" fontId="6" numFmtId="0" xfId="0" applyAlignment="1" applyBorder="1" applyFont="1">
      <alignment readingOrder="0"/>
    </xf>
    <xf borderId="36" fillId="0" fontId="6" numFmtId="0" xfId="0" applyAlignment="1" applyBorder="1" applyFont="1">
      <alignment horizontal="center" readingOrder="0"/>
    </xf>
    <xf borderId="4" fillId="4" fontId="9" numFmtId="0" xfId="0" applyAlignment="1" applyBorder="1" applyFill="1" applyFont="1">
      <alignment horizontal="left" readingOrder="0" vertical="center"/>
    </xf>
    <xf borderId="11" fillId="4" fontId="9" numFmtId="0" xfId="0" applyAlignment="1" applyBorder="1" applyFont="1">
      <alignment horizontal="center" readingOrder="0" vertical="center"/>
    </xf>
    <xf borderId="3" fillId="0" fontId="10" numFmtId="0" xfId="0" applyAlignment="1" applyBorder="1" applyFont="1">
      <alignment horizontal="left" readingOrder="0" vertical="center"/>
    </xf>
    <xf borderId="36" fillId="0" fontId="10" numFmtId="0" xfId="0" applyAlignment="1" applyBorder="1" applyFont="1">
      <alignment horizontal="center" readingOrder="0" vertical="center"/>
    </xf>
    <xf borderId="36" fillId="0" fontId="10" numFmtId="167" xfId="0" applyAlignment="1" applyBorder="1" applyFont="1" applyNumberFormat="1">
      <alignment horizontal="center" readingOrder="0" vertical="center"/>
    </xf>
    <xf borderId="36" fillId="0" fontId="10" numFmtId="0" xfId="0" applyAlignment="1" applyBorder="1" applyFont="1">
      <alignment horizontal="center" readingOrder="0" shrinkToFit="0" vertical="center" wrapText="0"/>
    </xf>
    <xf borderId="11" fillId="4" fontId="9" numFmtId="0" xfId="0" applyAlignment="1" applyBorder="1" applyFont="1">
      <alignment horizontal="center" readingOrder="0" shrinkToFit="0" vertical="center" wrapText="1"/>
    </xf>
    <xf borderId="0" fillId="0" fontId="11" numFmtId="0" xfId="0" applyFont="1"/>
    <xf borderId="0" fillId="0" fontId="11" numFmtId="2" xfId="0" applyFont="1" applyNumberFormat="1"/>
    <xf borderId="0" fillId="0" fontId="11" numFmtId="167" xfId="0" applyFont="1" applyNumberFormat="1"/>
    <xf borderId="0" fillId="0" fontId="11" numFmtId="2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.88"/>
    <col customWidth="1" min="2" max="2" width="18.38"/>
    <col customWidth="1" min="3" max="4" width="14.75"/>
    <col customWidth="1" min="5" max="5" width="12.63"/>
    <col customWidth="1" min="6" max="6" width="20.0"/>
    <col customWidth="1" min="9" max="9" width="14.25"/>
    <col customWidth="1" min="11" max="11" width="25.88"/>
    <col customWidth="1" min="18" max="18" width="25.75"/>
  </cols>
  <sheetData>
    <row r="1" ht="15.75" customHeight="1">
      <c r="A1" s="1"/>
      <c r="B1" s="1" t="s">
        <v>0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5.75" customHeight="1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H2" s="4"/>
      <c r="J2" s="1"/>
      <c r="K2" s="5" t="s">
        <v>7</v>
      </c>
      <c r="L2" s="2" t="s">
        <v>8</v>
      </c>
      <c r="M2" s="2" t="s">
        <v>9</v>
      </c>
      <c r="N2" s="2" t="s">
        <v>10</v>
      </c>
      <c r="O2" s="2" t="s">
        <v>11</v>
      </c>
      <c r="P2" s="2" t="s">
        <v>12</v>
      </c>
      <c r="Q2" s="1"/>
      <c r="R2" s="1"/>
      <c r="S2" s="1"/>
      <c r="T2" s="1"/>
      <c r="U2" s="1"/>
      <c r="V2" s="1"/>
      <c r="W2" s="1"/>
      <c r="X2" s="1"/>
      <c r="Y2" s="1"/>
    </row>
    <row r="3" ht="15.75" customHeight="1">
      <c r="A3" s="6" t="s">
        <v>13</v>
      </c>
      <c r="B3" s="7" t="s">
        <v>14</v>
      </c>
      <c r="C3" s="8">
        <f>C25+15.9*3/1000</f>
        <v>0.34459868</v>
      </c>
      <c r="D3" s="8">
        <f>D25+0.108*3/1000</f>
        <v>0.05757743292</v>
      </c>
      <c r="E3" s="9">
        <f t="shared" ref="E3:E10" si="2">SQRT((C3^2)+D3^2)</f>
        <v>0.3493757448</v>
      </c>
      <c r="F3" s="10">
        <f t="shared" ref="F3:F10" si="3">$H$3/(SQRT(3)*E3)</f>
        <v>627.9574515</v>
      </c>
      <c r="H3" s="11">
        <v>380.0</v>
      </c>
      <c r="J3" s="1"/>
      <c r="K3" s="12" t="s">
        <v>15</v>
      </c>
      <c r="L3" s="13">
        <v>500.0</v>
      </c>
      <c r="M3" s="14">
        <f>(13200^2)/(L3*10^6)</f>
        <v>0.34848</v>
      </c>
      <c r="N3" s="14">
        <f>M3*0.1</f>
        <v>0.034848</v>
      </c>
      <c r="O3" s="15">
        <f t="shared" ref="O3:P3" si="1">M3/(13200/380)^2</f>
        <v>0.0002888</v>
      </c>
      <c r="P3" s="16">
        <f t="shared" si="1"/>
        <v>0.00002888</v>
      </c>
      <c r="Q3" s="1"/>
      <c r="R3" s="1"/>
      <c r="S3" s="1"/>
      <c r="T3" s="1"/>
      <c r="U3" s="1"/>
      <c r="V3" s="1"/>
      <c r="W3" s="1"/>
      <c r="X3" s="1"/>
      <c r="Y3" s="1"/>
    </row>
    <row r="4" ht="15.75" customHeight="1">
      <c r="A4" s="17" t="s">
        <v>16</v>
      </c>
      <c r="B4" s="18" t="s">
        <v>17</v>
      </c>
      <c r="C4" s="8">
        <f>C28+5.92*3/1000</f>
        <v>0.28094868</v>
      </c>
      <c r="D4" s="8">
        <f>D28+0.0991*3/1000</f>
        <v>0.05839528292</v>
      </c>
      <c r="E4" s="8">
        <f t="shared" si="2"/>
        <v>0.2869532538</v>
      </c>
      <c r="F4" s="19">
        <f t="shared" si="3"/>
        <v>764.5604272</v>
      </c>
      <c r="G4" s="1"/>
      <c r="H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15.75" customHeight="1">
      <c r="A5" s="17" t="s">
        <v>18</v>
      </c>
      <c r="B5" s="18" t="s">
        <v>19</v>
      </c>
      <c r="C5" s="8">
        <f>C30+15.9*2/1000</f>
        <v>0.34056868</v>
      </c>
      <c r="D5" s="8">
        <f>D30+0.108*2/1000</f>
        <v>0.05832878292</v>
      </c>
      <c r="E5" s="8">
        <f t="shared" si="2"/>
        <v>0.3455275282</v>
      </c>
      <c r="F5" s="19">
        <f t="shared" si="3"/>
        <v>634.9511527</v>
      </c>
      <c r="G5" s="1"/>
      <c r="H5" s="1"/>
      <c r="J5" s="1"/>
      <c r="K5" s="2" t="s">
        <v>20</v>
      </c>
      <c r="L5" s="2" t="s">
        <v>21</v>
      </c>
      <c r="M5" s="2" t="s">
        <v>22</v>
      </c>
      <c r="N5" s="2" t="s">
        <v>23</v>
      </c>
      <c r="O5" s="2" t="s">
        <v>24</v>
      </c>
      <c r="P5" s="2" t="s">
        <v>3</v>
      </c>
      <c r="Q5" s="5" t="s">
        <v>4</v>
      </c>
      <c r="S5" s="1"/>
      <c r="T5" s="1"/>
      <c r="U5" s="1"/>
      <c r="V5" s="1"/>
      <c r="W5" s="1"/>
      <c r="X5" s="1"/>
      <c r="Y5" s="1"/>
    </row>
    <row r="6" ht="15.75" customHeight="1">
      <c r="A6" s="17" t="s">
        <v>25</v>
      </c>
      <c r="B6" s="7" t="s">
        <v>26</v>
      </c>
      <c r="C6" s="8">
        <f>C30+9.55*5/1000</f>
        <v>0.35651868</v>
      </c>
      <c r="D6" s="8">
        <f>D30+0.0995*5/1000</f>
        <v>0.05861028292</v>
      </c>
      <c r="E6" s="8">
        <f t="shared" si="2"/>
        <v>0.3613042132</v>
      </c>
      <c r="F6" s="19">
        <f t="shared" si="3"/>
        <v>607.2254192</v>
      </c>
      <c r="G6" s="1"/>
      <c r="H6" s="1"/>
      <c r="J6" s="1"/>
      <c r="K6" s="20" t="s">
        <v>27</v>
      </c>
      <c r="L6" s="21" t="s">
        <v>28</v>
      </c>
      <c r="M6" s="21">
        <v>0.372</v>
      </c>
      <c r="N6" s="21">
        <v>0.0891</v>
      </c>
      <c r="O6" s="21">
        <v>500.0</v>
      </c>
      <c r="P6" s="22">
        <f t="shared" ref="P6:P31" si="4">M6*O6/1000</f>
        <v>0.186</v>
      </c>
      <c r="Q6" s="23">
        <f t="shared" ref="Q6:Q31" si="5">N6*O6/1000</f>
        <v>0.04455</v>
      </c>
      <c r="S6" s="1"/>
      <c r="T6" s="1"/>
      <c r="U6" s="1"/>
      <c r="V6" s="1"/>
      <c r="W6" s="1"/>
      <c r="X6" s="1"/>
      <c r="Y6" s="1"/>
    </row>
    <row r="7" ht="15.75" customHeight="1">
      <c r="A7" s="17" t="s">
        <v>29</v>
      </c>
      <c r="B7" s="7" t="s">
        <v>30</v>
      </c>
      <c r="C7" s="8">
        <f>C28+9.55*2/1000</f>
        <v>0.28228868</v>
      </c>
      <c r="D7" s="8">
        <f>D28+0.0995*2/1000</f>
        <v>0.05829698292</v>
      </c>
      <c r="E7" s="8">
        <f t="shared" si="2"/>
        <v>0.2882454459</v>
      </c>
      <c r="F7" s="19">
        <f t="shared" si="3"/>
        <v>761.1329352</v>
      </c>
      <c r="G7" s="1"/>
      <c r="H7" s="1"/>
      <c r="J7" s="1"/>
      <c r="K7" s="24" t="s">
        <v>31</v>
      </c>
      <c r="L7" s="25" t="s">
        <v>32</v>
      </c>
      <c r="M7" s="26">
        <v>0.341</v>
      </c>
      <c r="N7" s="26">
        <v>0.073</v>
      </c>
      <c r="O7" s="26">
        <v>15.0</v>
      </c>
      <c r="P7" s="26">
        <f t="shared" si="4"/>
        <v>0.005115</v>
      </c>
      <c r="Q7" s="27">
        <f t="shared" si="5"/>
        <v>0.001095</v>
      </c>
      <c r="S7" s="1"/>
      <c r="T7" s="1"/>
      <c r="U7" s="1"/>
      <c r="V7" s="1"/>
      <c r="W7" s="1"/>
      <c r="X7" s="1"/>
      <c r="Y7" s="1"/>
    </row>
    <row r="8" ht="15.75" customHeight="1">
      <c r="A8" s="17" t="s">
        <v>33</v>
      </c>
      <c r="B8" s="18" t="s">
        <v>34</v>
      </c>
      <c r="C8" s="8">
        <f t="shared" ref="C8:C9" si="6">C31+15.9*1.5/1000</f>
        <v>0.40477368</v>
      </c>
      <c r="D8" s="8">
        <f t="shared" ref="D8:D9" si="7">D31+0.108*1.5/1000</f>
        <v>0.05885218292</v>
      </c>
      <c r="E8" s="9">
        <f t="shared" si="2"/>
        <v>0.4090297195</v>
      </c>
      <c r="F8" s="10">
        <f t="shared" si="3"/>
        <v>536.374478</v>
      </c>
      <c r="G8" s="1"/>
      <c r="H8" s="1"/>
      <c r="J8" s="1"/>
      <c r="K8" s="24" t="s">
        <v>35</v>
      </c>
      <c r="L8" s="25" t="s">
        <v>36</v>
      </c>
      <c r="M8" s="26">
        <v>5.92</v>
      </c>
      <c r="N8" s="26">
        <v>0.0991</v>
      </c>
      <c r="O8" s="26">
        <v>2.0</v>
      </c>
      <c r="P8" s="26">
        <f t="shared" si="4"/>
        <v>0.01184</v>
      </c>
      <c r="Q8" s="27">
        <f t="shared" si="5"/>
        <v>0.0001982</v>
      </c>
      <c r="S8" s="1"/>
      <c r="T8" s="1"/>
      <c r="U8" s="1"/>
      <c r="V8" s="1"/>
      <c r="W8" s="1"/>
      <c r="X8" s="1"/>
      <c r="Y8" s="1"/>
    </row>
    <row r="9" ht="15.75" customHeight="1">
      <c r="A9" s="17" t="s">
        <v>37</v>
      </c>
      <c r="B9" s="18" t="s">
        <v>38</v>
      </c>
      <c r="C9" s="8">
        <f t="shared" si="6"/>
        <v>0.36925368</v>
      </c>
      <c r="D9" s="8">
        <f t="shared" si="7"/>
        <v>0.05825758292</v>
      </c>
      <c r="E9" s="9">
        <f t="shared" si="2"/>
        <v>0.3738211152</v>
      </c>
      <c r="F9" s="10">
        <f t="shared" si="3"/>
        <v>586.893285</v>
      </c>
      <c r="G9" s="1"/>
      <c r="H9" s="1"/>
      <c r="J9" s="1"/>
      <c r="K9" s="24" t="s">
        <v>35</v>
      </c>
      <c r="L9" s="25" t="s">
        <v>39</v>
      </c>
      <c r="M9" s="26">
        <v>9.55</v>
      </c>
      <c r="N9" s="26">
        <v>0.0995</v>
      </c>
      <c r="O9" s="26">
        <v>1.0</v>
      </c>
      <c r="P9" s="26">
        <f t="shared" si="4"/>
        <v>0.00955</v>
      </c>
      <c r="Q9" s="27">
        <f t="shared" si="5"/>
        <v>0.0000995</v>
      </c>
      <c r="S9" s="1"/>
      <c r="T9" s="1"/>
      <c r="U9" s="1"/>
      <c r="V9" s="1"/>
      <c r="W9" s="1"/>
      <c r="X9" s="1"/>
      <c r="Y9" s="1"/>
    </row>
    <row r="10" ht="15.75" customHeight="1">
      <c r="A10" s="17" t="s">
        <v>40</v>
      </c>
      <c r="B10" s="7" t="s">
        <v>41</v>
      </c>
      <c r="C10" s="8">
        <f>C33+9.55*2/1000</f>
        <v>0.23998868</v>
      </c>
      <c r="D10" s="8">
        <f>D33+0.0995*2/1000</f>
        <v>0.05636113292</v>
      </c>
      <c r="E10" s="8">
        <f t="shared" si="2"/>
        <v>0.2465180396</v>
      </c>
      <c r="F10" s="19">
        <f t="shared" si="3"/>
        <v>889.967739</v>
      </c>
      <c r="G10" s="1"/>
      <c r="H10" s="1"/>
      <c r="J10" s="1"/>
      <c r="K10" s="24" t="s">
        <v>42</v>
      </c>
      <c r="L10" s="25" t="s">
        <v>39</v>
      </c>
      <c r="M10" s="28">
        <v>5.92</v>
      </c>
      <c r="N10" s="28">
        <v>0.0991</v>
      </c>
      <c r="O10" s="26">
        <v>5.5</v>
      </c>
      <c r="P10" s="26">
        <f t="shared" si="4"/>
        <v>0.03256</v>
      </c>
      <c r="Q10" s="27">
        <f t="shared" si="5"/>
        <v>0.00054505</v>
      </c>
      <c r="S10" s="1"/>
      <c r="T10" s="1"/>
      <c r="U10" s="1"/>
      <c r="V10" s="1"/>
      <c r="W10" s="1"/>
      <c r="X10" s="1"/>
      <c r="Y10" s="1"/>
    </row>
    <row r="11" ht="15.75" customHeight="1">
      <c r="A11" s="29"/>
      <c r="B11" s="30"/>
      <c r="C11" s="31"/>
      <c r="D11" s="8"/>
      <c r="E11" s="8"/>
      <c r="F11" s="19"/>
      <c r="G11" s="1"/>
      <c r="H11" s="1"/>
      <c r="J11" s="1"/>
      <c r="K11" s="24" t="s">
        <v>43</v>
      </c>
      <c r="L11" s="25" t="s">
        <v>36</v>
      </c>
      <c r="M11" s="26">
        <v>9.55</v>
      </c>
      <c r="N11" s="26">
        <v>0.0995</v>
      </c>
      <c r="O11" s="26">
        <v>5.5</v>
      </c>
      <c r="P11" s="26">
        <f t="shared" si="4"/>
        <v>0.052525</v>
      </c>
      <c r="Q11" s="27">
        <f t="shared" si="5"/>
        <v>0.00054725</v>
      </c>
      <c r="S11" s="1"/>
      <c r="T11" s="1"/>
      <c r="U11" s="1"/>
      <c r="V11" s="1"/>
      <c r="W11" s="1"/>
      <c r="X11" s="1"/>
      <c r="Y11" s="1"/>
    </row>
    <row r="12" ht="15.75" customHeight="1">
      <c r="A12" s="29"/>
      <c r="B12" s="30"/>
      <c r="C12" s="31"/>
      <c r="D12" s="8"/>
      <c r="E12" s="8"/>
      <c r="F12" s="19"/>
      <c r="G12" s="1"/>
      <c r="H12" s="1"/>
      <c r="J12" s="1"/>
      <c r="K12" s="24" t="s">
        <v>44</v>
      </c>
      <c r="L12" s="28" t="s">
        <v>36</v>
      </c>
      <c r="M12" s="28">
        <v>5.92</v>
      </c>
      <c r="N12" s="28">
        <v>0.0991</v>
      </c>
      <c r="O12" s="28">
        <v>12.0</v>
      </c>
      <c r="P12" s="26">
        <f t="shared" si="4"/>
        <v>0.07104</v>
      </c>
      <c r="Q12" s="27">
        <f t="shared" si="5"/>
        <v>0.0011892</v>
      </c>
      <c r="S12" s="1"/>
      <c r="T12" s="1"/>
      <c r="U12" s="1"/>
      <c r="V12" s="1"/>
      <c r="W12" s="1"/>
      <c r="X12" s="1"/>
      <c r="Y12" s="1"/>
    </row>
    <row r="13" ht="15.75" customHeight="1">
      <c r="A13" s="32"/>
      <c r="C13" s="8"/>
      <c r="D13" s="8"/>
      <c r="E13" s="8"/>
      <c r="F13" s="19"/>
      <c r="G13" s="1"/>
      <c r="H13" s="1"/>
      <c r="J13" s="1"/>
      <c r="K13" s="24" t="s">
        <v>44</v>
      </c>
      <c r="L13" s="25" t="s">
        <v>39</v>
      </c>
      <c r="M13" s="26">
        <v>9.55</v>
      </c>
      <c r="N13" s="26">
        <v>0.0995</v>
      </c>
      <c r="O13" s="26">
        <v>3.0</v>
      </c>
      <c r="P13" s="26">
        <f t="shared" si="4"/>
        <v>0.02865</v>
      </c>
      <c r="Q13" s="27">
        <f t="shared" si="5"/>
        <v>0.0002985</v>
      </c>
      <c r="S13" s="1"/>
      <c r="T13" s="1"/>
      <c r="U13" s="1"/>
      <c r="V13" s="1"/>
      <c r="W13" s="1"/>
      <c r="X13" s="1"/>
      <c r="Y13" s="1"/>
    </row>
    <row r="14" ht="15.75" customHeight="1">
      <c r="A14" s="33"/>
      <c r="B14" s="34"/>
      <c r="C14" s="8"/>
      <c r="D14" s="8"/>
      <c r="E14" s="8"/>
      <c r="F14" s="19"/>
      <c r="G14" s="1"/>
      <c r="H14" s="1"/>
      <c r="J14" s="1"/>
      <c r="K14" s="24" t="s">
        <v>45</v>
      </c>
      <c r="L14" s="35" t="s">
        <v>46</v>
      </c>
      <c r="M14" s="36">
        <v>15.9</v>
      </c>
      <c r="N14" s="36">
        <v>0.108</v>
      </c>
      <c r="O14" s="36">
        <v>3.0</v>
      </c>
      <c r="P14" s="36">
        <f t="shared" si="4"/>
        <v>0.0477</v>
      </c>
      <c r="Q14" s="37">
        <f t="shared" si="5"/>
        <v>0.000324</v>
      </c>
      <c r="S14" s="1"/>
      <c r="T14" s="1"/>
      <c r="U14" s="1"/>
      <c r="V14" s="1"/>
      <c r="W14" s="1"/>
      <c r="X14" s="1"/>
      <c r="Y14" s="1"/>
    </row>
    <row r="15" ht="15.75" customHeight="1">
      <c r="A15" s="33"/>
      <c r="B15" s="34"/>
      <c r="C15" s="8"/>
      <c r="D15" s="8"/>
      <c r="E15" s="8"/>
      <c r="F15" s="19"/>
      <c r="G15" s="1"/>
      <c r="H15" s="1"/>
      <c r="J15" s="1"/>
      <c r="K15" s="24" t="s">
        <v>47</v>
      </c>
      <c r="L15" s="25" t="s">
        <v>36</v>
      </c>
      <c r="M15" s="26">
        <v>5.92</v>
      </c>
      <c r="N15" s="26">
        <v>0.0991</v>
      </c>
      <c r="O15" s="26">
        <v>19.5</v>
      </c>
      <c r="P15" s="26">
        <f t="shared" si="4"/>
        <v>0.11544</v>
      </c>
      <c r="Q15" s="27">
        <f t="shared" si="5"/>
        <v>0.00193245</v>
      </c>
      <c r="S15" s="1"/>
      <c r="T15" s="1"/>
      <c r="U15" s="1"/>
      <c r="V15" s="1"/>
      <c r="W15" s="1"/>
      <c r="X15" s="1"/>
      <c r="Y15" s="1"/>
    </row>
    <row r="16" ht="15.75" customHeight="1">
      <c r="A16" s="33"/>
      <c r="B16" s="34"/>
      <c r="C16" s="8"/>
      <c r="D16" s="8"/>
      <c r="E16" s="8"/>
      <c r="F16" s="19"/>
      <c r="G16" s="1"/>
      <c r="H16" s="1"/>
      <c r="J16" s="1"/>
      <c r="K16" s="24" t="s">
        <v>48</v>
      </c>
      <c r="L16" s="25" t="s">
        <v>36</v>
      </c>
      <c r="M16" s="26">
        <v>5.92</v>
      </c>
      <c r="N16" s="26">
        <v>0.0991</v>
      </c>
      <c r="O16" s="26">
        <v>19.5</v>
      </c>
      <c r="P16" s="26">
        <f t="shared" si="4"/>
        <v>0.11544</v>
      </c>
      <c r="Q16" s="27">
        <f t="shared" si="5"/>
        <v>0.00193245</v>
      </c>
      <c r="S16" s="1"/>
      <c r="T16" s="1"/>
      <c r="U16" s="1"/>
      <c r="V16" s="1"/>
      <c r="W16" s="1"/>
      <c r="X16" s="1"/>
      <c r="Y16" s="1"/>
    </row>
    <row r="17" ht="15.75" customHeight="1">
      <c r="A17" s="33"/>
      <c r="B17" s="34"/>
      <c r="C17" s="8"/>
      <c r="D17" s="8"/>
      <c r="E17" s="8"/>
      <c r="F17" s="19"/>
      <c r="G17" s="1"/>
      <c r="H17" s="1"/>
      <c r="J17" s="1"/>
      <c r="K17" s="24" t="s">
        <v>48</v>
      </c>
      <c r="L17" s="25" t="s">
        <v>39</v>
      </c>
      <c r="M17" s="26">
        <v>9.55</v>
      </c>
      <c r="N17" s="26">
        <v>0.0995</v>
      </c>
      <c r="O17" s="26">
        <v>6.5</v>
      </c>
      <c r="P17" s="26">
        <f t="shared" si="4"/>
        <v>0.062075</v>
      </c>
      <c r="Q17" s="27">
        <f t="shared" si="5"/>
        <v>0.00064675</v>
      </c>
      <c r="S17" s="1"/>
      <c r="T17" s="1"/>
      <c r="U17" s="1"/>
      <c r="V17" s="1"/>
      <c r="W17" s="1"/>
      <c r="X17" s="1"/>
      <c r="Y17" s="1"/>
    </row>
    <row r="18" ht="15.75" customHeight="1">
      <c r="A18" s="38"/>
      <c r="B18" s="39"/>
      <c r="C18" s="40"/>
      <c r="D18" s="40"/>
      <c r="E18" s="40"/>
      <c r="F18" s="41"/>
      <c r="G18" s="1"/>
      <c r="H18" s="1"/>
      <c r="I18" s="1"/>
      <c r="J18" s="1"/>
      <c r="K18" s="24" t="s">
        <v>49</v>
      </c>
      <c r="L18" s="25" t="s">
        <v>50</v>
      </c>
      <c r="M18" s="26">
        <v>2.29</v>
      </c>
      <c r="N18" s="26">
        <v>0.086</v>
      </c>
      <c r="O18" s="26">
        <v>24.5</v>
      </c>
      <c r="P18" s="26">
        <f t="shared" si="4"/>
        <v>0.056105</v>
      </c>
      <c r="Q18" s="27">
        <f t="shared" si="5"/>
        <v>0.002107</v>
      </c>
      <c r="S18" s="1"/>
      <c r="T18" s="1"/>
      <c r="U18" s="1"/>
      <c r="V18" s="1"/>
      <c r="W18" s="1"/>
      <c r="X18" s="1"/>
      <c r="Y18" s="1"/>
    </row>
    <row r="19" ht="15.75" customHeight="1">
      <c r="B19" s="42" t="s">
        <v>51</v>
      </c>
      <c r="G19" s="1"/>
      <c r="H19" s="1"/>
      <c r="I19" s="1"/>
      <c r="J19" s="1"/>
      <c r="K19" s="24" t="s">
        <v>49</v>
      </c>
      <c r="L19" s="25" t="s">
        <v>52</v>
      </c>
      <c r="M19" s="26">
        <v>3.95</v>
      </c>
      <c r="N19" s="26">
        <v>0.0901</v>
      </c>
      <c r="O19" s="26">
        <v>2.5</v>
      </c>
      <c r="P19" s="26">
        <f t="shared" si="4"/>
        <v>0.009875</v>
      </c>
      <c r="Q19" s="27">
        <f t="shared" si="5"/>
        <v>0.00022525</v>
      </c>
      <c r="S19" s="1"/>
      <c r="T19" s="1"/>
      <c r="U19" s="1"/>
      <c r="V19" s="1"/>
      <c r="W19" s="1"/>
      <c r="X19" s="1"/>
      <c r="Y19" s="1"/>
    </row>
    <row r="20" ht="27.75" customHeight="1">
      <c r="A20" s="1"/>
      <c r="B20" s="43" t="s">
        <v>53</v>
      </c>
      <c r="C20" s="44"/>
      <c r="D20" s="44"/>
      <c r="E20" s="44"/>
      <c r="F20" s="45"/>
      <c r="H20" s="1"/>
      <c r="I20" s="1"/>
      <c r="J20" s="1"/>
      <c r="K20" s="24" t="s">
        <v>54</v>
      </c>
      <c r="L20" s="25" t="s">
        <v>50</v>
      </c>
      <c r="M20" s="26">
        <v>2.29</v>
      </c>
      <c r="N20" s="26">
        <v>0.086</v>
      </c>
      <c r="O20" s="26">
        <v>30.0</v>
      </c>
      <c r="P20" s="26">
        <f t="shared" si="4"/>
        <v>0.0687</v>
      </c>
      <c r="Q20" s="27">
        <f t="shared" si="5"/>
        <v>0.00258</v>
      </c>
      <c r="S20" s="1"/>
      <c r="T20" s="1"/>
      <c r="U20" s="1"/>
      <c r="V20" s="1"/>
      <c r="W20" s="1"/>
      <c r="X20" s="1"/>
      <c r="Y20" s="1"/>
    </row>
    <row r="21" ht="39.75" customHeight="1">
      <c r="A21" s="1"/>
      <c r="B21" s="46" t="s">
        <v>7</v>
      </c>
      <c r="C21" s="47" t="s">
        <v>3</v>
      </c>
      <c r="D21" s="47" t="s">
        <v>4</v>
      </c>
      <c r="E21" s="47" t="s">
        <v>5</v>
      </c>
      <c r="F21" s="48" t="s">
        <v>55</v>
      </c>
      <c r="G21" s="1"/>
      <c r="H21" s="1"/>
      <c r="I21" s="1"/>
      <c r="J21" s="1"/>
      <c r="K21" s="24" t="s">
        <v>54</v>
      </c>
      <c r="L21" s="25" t="s">
        <v>39</v>
      </c>
      <c r="M21" s="26">
        <v>9.55</v>
      </c>
      <c r="N21" s="26">
        <v>0.0995</v>
      </c>
      <c r="O21" s="26">
        <v>2.5</v>
      </c>
      <c r="P21" s="26">
        <f t="shared" si="4"/>
        <v>0.023875</v>
      </c>
      <c r="Q21" s="27">
        <f t="shared" si="5"/>
        <v>0.00024875</v>
      </c>
      <c r="S21" s="1"/>
      <c r="T21" s="1"/>
      <c r="U21" s="1"/>
      <c r="V21" s="1"/>
      <c r="W21" s="1"/>
      <c r="X21" s="1"/>
      <c r="Y21" s="1"/>
    </row>
    <row r="22" ht="15.75" customHeight="1">
      <c r="A22" s="1"/>
      <c r="B22" s="49" t="s">
        <v>56</v>
      </c>
      <c r="C22" s="8">
        <f>SUM(P6,P3,P7,E42)</f>
        <v>0.19720868</v>
      </c>
      <c r="D22" s="8">
        <f>SUM(Q6,F42,O3,Q7)</f>
        <v>0.05576573292</v>
      </c>
      <c r="E22" s="8">
        <f t="shared" ref="E22:E36" si="8">SQRT((C22^2)+D22^2)</f>
        <v>0.2049416513</v>
      </c>
      <c r="F22" s="19">
        <f t="shared" ref="F22:F36" si="9">$H$3/(SQRT(3)*E22)</f>
        <v>1070.514953</v>
      </c>
      <c r="I22" s="1"/>
      <c r="J22" s="1"/>
      <c r="K22" s="24" t="s">
        <v>57</v>
      </c>
      <c r="L22" s="25" t="s">
        <v>52</v>
      </c>
      <c r="M22" s="26">
        <v>3.95</v>
      </c>
      <c r="N22" s="26">
        <v>0.0901</v>
      </c>
      <c r="O22" s="26">
        <v>20.0</v>
      </c>
      <c r="P22" s="26">
        <f t="shared" si="4"/>
        <v>0.079</v>
      </c>
      <c r="Q22" s="27">
        <f t="shared" si="5"/>
        <v>0.001802</v>
      </c>
      <c r="S22" s="1"/>
      <c r="T22" s="1"/>
      <c r="U22" s="1"/>
      <c r="V22" s="1"/>
      <c r="W22" s="1"/>
      <c r="X22" s="1"/>
      <c r="Y22" s="1"/>
    </row>
    <row r="23" ht="15.75" customHeight="1">
      <c r="A23" s="50"/>
      <c r="B23" s="49" t="s">
        <v>58</v>
      </c>
      <c r="C23" s="8">
        <f>SUM(P3,P7,P8,P6,P9,E42)</f>
        <v>0.21859868</v>
      </c>
      <c r="D23" s="8">
        <f>SUM(O3,Q7,Q8,Q9,Q6,F42)</f>
        <v>0.05606343292</v>
      </c>
      <c r="E23" s="8">
        <f t="shared" si="8"/>
        <v>0.2256734176</v>
      </c>
      <c r="F23" s="19">
        <f t="shared" si="9"/>
        <v>972.1707795</v>
      </c>
      <c r="I23" s="1"/>
      <c r="J23" s="1"/>
      <c r="K23" s="24" t="s">
        <v>57</v>
      </c>
      <c r="L23" s="25" t="s">
        <v>36</v>
      </c>
      <c r="M23" s="26">
        <v>5.92</v>
      </c>
      <c r="N23" s="26">
        <v>0.0991</v>
      </c>
      <c r="O23" s="26">
        <v>5.5</v>
      </c>
      <c r="P23" s="26">
        <f t="shared" si="4"/>
        <v>0.03256</v>
      </c>
      <c r="Q23" s="27">
        <f t="shared" si="5"/>
        <v>0.00054505</v>
      </c>
      <c r="S23" s="1"/>
      <c r="T23" s="1"/>
      <c r="U23" s="1"/>
      <c r="V23" s="1"/>
      <c r="W23" s="1"/>
      <c r="X23" s="1"/>
      <c r="Y23" s="1"/>
    </row>
    <row r="24" ht="15.75" customHeight="1">
      <c r="A24" s="1"/>
      <c r="B24" s="49" t="s">
        <v>59</v>
      </c>
      <c r="C24" s="8">
        <f>SUM(P3,P6,P7,P10,E42)</f>
        <v>0.22976868</v>
      </c>
      <c r="D24" s="8">
        <f>SUM(O3,Q6,Q7,Q10,F42)</f>
        <v>0.05631078292</v>
      </c>
      <c r="E24" s="8">
        <f t="shared" si="8"/>
        <v>0.2365682789</v>
      </c>
      <c r="F24" s="19">
        <f t="shared" si="9"/>
        <v>927.3986492</v>
      </c>
      <c r="I24" s="1"/>
      <c r="J24" s="1"/>
      <c r="K24" s="24" t="s">
        <v>60</v>
      </c>
      <c r="L24" s="25" t="s">
        <v>36</v>
      </c>
      <c r="M24" s="26">
        <v>5.92</v>
      </c>
      <c r="N24" s="26">
        <v>0.0991</v>
      </c>
      <c r="O24" s="26">
        <v>27.0</v>
      </c>
      <c r="P24" s="26">
        <f t="shared" si="4"/>
        <v>0.15984</v>
      </c>
      <c r="Q24" s="27">
        <f t="shared" si="5"/>
        <v>0.0026757</v>
      </c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49" t="s">
        <v>61</v>
      </c>
      <c r="C25" s="8">
        <f>SUM(E42,P3,P6,P7,P12,P13)</f>
        <v>0.29689868</v>
      </c>
      <c r="D25" s="8">
        <f>SUM(F42,O3,Q6,Q7,Q12,Q13)</f>
        <v>0.05725343292</v>
      </c>
      <c r="E25" s="8">
        <f t="shared" si="8"/>
        <v>0.302368619</v>
      </c>
      <c r="F25" s="19">
        <f t="shared" si="9"/>
        <v>725.5815865</v>
      </c>
      <c r="I25" s="1"/>
      <c r="J25" s="1"/>
      <c r="K25" s="24" t="s">
        <v>60</v>
      </c>
      <c r="L25" s="25" t="s">
        <v>39</v>
      </c>
      <c r="M25" s="26">
        <v>9.55</v>
      </c>
      <c r="N25" s="26">
        <v>0.0995</v>
      </c>
      <c r="O25" s="26">
        <v>2.5</v>
      </c>
      <c r="P25" s="26">
        <f t="shared" si="4"/>
        <v>0.023875</v>
      </c>
      <c r="Q25" s="27">
        <f t="shared" si="5"/>
        <v>0.00024875</v>
      </c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49" t="s">
        <v>62</v>
      </c>
      <c r="C26" s="8">
        <f>SUM(P3,P6,P7,P15,E42)</f>
        <v>0.31264868</v>
      </c>
      <c r="D26" s="8">
        <f>SUM(F42,O3,Q6,Q7,Q15)</f>
        <v>0.05769818292</v>
      </c>
      <c r="E26" s="8">
        <f t="shared" si="8"/>
        <v>0.317928101</v>
      </c>
      <c r="F26" s="19">
        <f t="shared" si="9"/>
        <v>690.0714394</v>
      </c>
      <c r="G26" s="1"/>
      <c r="H26" s="1"/>
      <c r="I26" s="1"/>
      <c r="J26" s="1"/>
      <c r="K26" s="24" t="s">
        <v>63</v>
      </c>
      <c r="L26" s="25" t="s">
        <v>36</v>
      </c>
      <c r="M26" s="26">
        <v>5.92</v>
      </c>
      <c r="N26" s="26">
        <v>0.0991</v>
      </c>
      <c r="O26" s="26">
        <v>21.0</v>
      </c>
      <c r="P26" s="26">
        <f t="shared" si="4"/>
        <v>0.12432</v>
      </c>
      <c r="Q26" s="27">
        <f t="shared" si="5"/>
        <v>0.0020811</v>
      </c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49" t="s">
        <v>64</v>
      </c>
      <c r="C27" s="8">
        <f>SUM(E42,P3,P6,P7,P16,P17)</f>
        <v>0.37472368</v>
      </c>
      <c r="D27" s="8">
        <f>SUM(F42,O3,Q6,Q7,Q16,Q17)</f>
        <v>0.05834493292</v>
      </c>
      <c r="E27" s="8">
        <f t="shared" si="8"/>
        <v>0.3792386683</v>
      </c>
      <c r="F27" s="19">
        <f t="shared" si="9"/>
        <v>578.5093152</v>
      </c>
      <c r="J27" s="1"/>
      <c r="K27" s="24" t="s">
        <v>63</v>
      </c>
      <c r="L27" s="25" t="s">
        <v>39</v>
      </c>
      <c r="M27" s="26">
        <v>9.55</v>
      </c>
      <c r="N27" s="26">
        <v>0.0995</v>
      </c>
      <c r="O27" s="26">
        <v>2.5</v>
      </c>
      <c r="P27" s="26">
        <f t="shared" si="4"/>
        <v>0.023875</v>
      </c>
      <c r="Q27" s="27">
        <f t="shared" si="5"/>
        <v>0.00024875</v>
      </c>
      <c r="S27" s="1"/>
      <c r="T27" s="1"/>
      <c r="U27" s="1"/>
      <c r="V27" s="1"/>
      <c r="W27" s="1"/>
      <c r="X27" s="1"/>
      <c r="Y27" s="1"/>
      <c r="Z27" s="1"/>
    </row>
    <row r="28" ht="31.5" customHeight="1">
      <c r="A28" s="1"/>
      <c r="B28" s="49" t="s">
        <v>65</v>
      </c>
      <c r="C28" s="8">
        <f>SUM(E42,P3,P7,P6,P18,P19)</f>
        <v>0.26318868</v>
      </c>
      <c r="D28" s="8">
        <f>SUM(F42,O3,Q6,Q7,Q18,Q19)</f>
        <v>0.05809798292</v>
      </c>
      <c r="E28" s="8">
        <f t="shared" si="8"/>
        <v>0.2695248725</v>
      </c>
      <c r="F28" s="19">
        <f t="shared" si="9"/>
        <v>813.999466</v>
      </c>
      <c r="J28" s="1"/>
      <c r="K28" s="24" t="s">
        <v>66</v>
      </c>
      <c r="L28" s="25" t="s">
        <v>36</v>
      </c>
      <c r="M28" s="26">
        <v>5.92</v>
      </c>
      <c r="N28" s="26">
        <v>0.0991</v>
      </c>
      <c r="O28" s="28">
        <v>4.0</v>
      </c>
      <c r="P28" s="26">
        <f t="shared" si="4"/>
        <v>0.02368</v>
      </c>
      <c r="Q28" s="27">
        <f t="shared" si="5"/>
        <v>0.0003964</v>
      </c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49" t="s">
        <v>67</v>
      </c>
      <c r="C29" s="8">
        <f>SUM(E42,P3,P7,P6,P20,P21)</f>
        <v>0.28978368</v>
      </c>
      <c r="D29" s="8">
        <f>SUM(F42,O3,Q7,Q6,Q21,Q20)</f>
        <v>0.05859448292</v>
      </c>
      <c r="E29" s="8">
        <f t="shared" si="8"/>
        <v>0.2956482617</v>
      </c>
      <c r="F29" s="19">
        <f t="shared" si="9"/>
        <v>742.0747244</v>
      </c>
      <c r="J29" s="1"/>
      <c r="K29" s="51" t="s">
        <v>68</v>
      </c>
      <c r="L29" s="52" t="s">
        <v>52</v>
      </c>
      <c r="M29" s="52">
        <v>3.95</v>
      </c>
      <c r="N29" s="52">
        <v>0.0901</v>
      </c>
      <c r="O29" s="52">
        <v>8.0</v>
      </c>
      <c r="P29" s="53">
        <f t="shared" si="4"/>
        <v>0.0316</v>
      </c>
      <c r="Q29" s="54">
        <f t="shared" si="5"/>
        <v>0.0007208</v>
      </c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49" t="s">
        <v>69</v>
      </c>
      <c r="C30" s="8">
        <f>SUM(E42,P3,P6,P7,P22,P23)</f>
        <v>0.30876868</v>
      </c>
      <c r="D30" s="8">
        <f>SUM(F42,O3,Q7,Q6,Q22,Q23)</f>
        <v>0.05811278292</v>
      </c>
      <c r="E30" s="8">
        <f t="shared" si="8"/>
        <v>0.3141897409</v>
      </c>
      <c r="F30" s="19">
        <f t="shared" si="9"/>
        <v>698.2821962</v>
      </c>
      <c r="J30" s="1"/>
      <c r="K30" s="51" t="s">
        <v>70</v>
      </c>
      <c r="L30" s="53" t="s">
        <v>71</v>
      </c>
      <c r="M30" s="53">
        <v>9.55</v>
      </c>
      <c r="N30" s="53">
        <v>0.0995</v>
      </c>
      <c r="O30" s="53">
        <v>3.0</v>
      </c>
      <c r="P30" s="53">
        <f t="shared" si="4"/>
        <v>0.02865</v>
      </c>
      <c r="Q30" s="54">
        <f t="shared" si="5"/>
        <v>0.0002985</v>
      </c>
      <c r="R30" s="1"/>
      <c r="S30" s="1"/>
      <c r="T30" s="1"/>
      <c r="U30" s="1"/>
      <c r="V30" s="1"/>
      <c r="W30" s="1"/>
      <c r="X30" s="1"/>
      <c r="Y30" s="1"/>
      <c r="Z30" s="1"/>
    </row>
    <row r="31" ht="30.0" customHeight="1">
      <c r="A31" s="1"/>
      <c r="B31" s="49" t="s">
        <v>72</v>
      </c>
      <c r="C31" s="8">
        <f>SUM(E42,P3,P7,P6,P24,P25)</f>
        <v>0.38092368</v>
      </c>
      <c r="D31" s="8">
        <f>SUM(F42,O3,Q6,Q7,Q25,Q24)</f>
        <v>0.05869018292</v>
      </c>
      <c r="E31" s="8">
        <f t="shared" si="8"/>
        <v>0.3854184577</v>
      </c>
      <c r="F31" s="19">
        <f t="shared" si="9"/>
        <v>569.233512</v>
      </c>
      <c r="I31" s="1"/>
      <c r="J31" s="1"/>
      <c r="K31" s="55" t="s">
        <v>73</v>
      </c>
      <c r="L31" s="56" t="s">
        <v>39</v>
      </c>
      <c r="M31" s="57">
        <v>9.55</v>
      </c>
      <c r="N31" s="57">
        <v>0.0995</v>
      </c>
      <c r="O31" s="57">
        <v>5.5</v>
      </c>
      <c r="P31" s="57">
        <f t="shared" si="4"/>
        <v>0.052525</v>
      </c>
      <c r="Q31" s="58">
        <f t="shared" si="5"/>
        <v>0.00054725</v>
      </c>
      <c r="R31" s="1"/>
      <c r="S31" s="1"/>
      <c r="T31" s="1"/>
      <c r="U31" s="1"/>
      <c r="V31" s="1"/>
      <c r="W31" s="1"/>
      <c r="X31" s="1"/>
      <c r="Y31" s="1"/>
      <c r="Z31" s="1"/>
    </row>
    <row r="32" ht="30.0" customHeight="1">
      <c r="A32" s="1"/>
      <c r="B32" s="49" t="s">
        <v>74</v>
      </c>
      <c r="C32" s="8">
        <f>SUM(E42,P3,P7,P6,P26,P27)</f>
        <v>0.34540368</v>
      </c>
      <c r="D32" s="8">
        <f>SUM(F42,O3,Q7,Q6,Q27,Q26)</f>
        <v>0.05809558292</v>
      </c>
      <c r="E32" s="8">
        <f t="shared" si="8"/>
        <v>0.3502553339</v>
      </c>
      <c r="F32" s="19">
        <f t="shared" si="9"/>
        <v>626.3804747</v>
      </c>
      <c r="I32" s="1"/>
      <c r="J32" s="1"/>
      <c r="K32" s="1"/>
      <c r="R32" s="1"/>
      <c r="S32" s="1"/>
      <c r="T32" s="1"/>
      <c r="U32" s="1"/>
      <c r="V32" s="1"/>
      <c r="W32" s="1"/>
      <c r="X32" s="1"/>
      <c r="Y32" s="1"/>
      <c r="Z32" s="1"/>
    </row>
    <row r="33" ht="30.0" customHeight="1">
      <c r="A33" s="1"/>
      <c r="B33" s="49" t="s">
        <v>75</v>
      </c>
      <c r="C33" s="8">
        <f>SUM(E42,P3,P7,P6,P28)</f>
        <v>0.22088868</v>
      </c>
      <c r="D33" s="8">
        <f>SUM(F42,O3,Q7,Q6,Q28)</f>
        <v>0.05616213292</v>
      </c>
      <c r="E33" s="8">
        <f t="shared" si="8"/>
        <v>0.2279166385</v>
      </c>
      <c r="F33" s="19">
        <f t="shared" si="9"/>
        <v>962.6023957</v>
      </c>
      <c r="G33" s="1"/>
      <c r="H33" s="1"/>
      <c r="I33" s="1"/>
      <c r="J33" s="1"/>
      <c r="S33" s="1"/>
      <c r="T33" s="1"/>
      <c r="U33" s="1"/>
      <c r="V33" s="1"/>
      <c r="W33" s="1"/>
      <c r="X33" s="1"/>
      <c r="Y33" s="1"/>
      <c r="Z33" s="1"/>
    </row>
    <row r="34" ht="30.0" customHeight="1">
      <c r="A34" s="1"/>
      <c r="B34" s="49" t="s">
        <v>76</v>
      </c>
      <c r="C34" s="8">
        <f>SUM(E42,P3,P7,P6,P29)</f>
        <v>0.22880868</v>
      </c>
      <c r="D34" s="8">
        <f>SUM(F42,O3,Q7,Q6,Q29)</f>
        <v>0.05648653292</v>
      </c>
      <c r="E34" s="8">
        <f t="shared" si="8"/>
        <v>0.235678044</v>
      </c>
      <c r="F34" s="19">
        <f t="shared" si="9"/>
        <v>930.9017443</v>
      </c>
      <c r="G34" s="1"/>
      <c r="H34" s="1"/>
      <c r="I34" s="1"/>
      <c r="J34" s="1"/>
      <c r="S34" s="1"/>
      <c r="T34" s="1"/>
      <c r="U34" s="1"/>
      <c r="V34" s="1"/>
      <c r="W34" s="1"/>
      <c r="X34" s="1"/>
      <c r="Y34" s="1"/>
      <c r="Z34" s="1"/>
    </row>
    <row r="35" ht="30.0" customHeight="1">
      <c r="A35" s="1"/>
      <c r="B35" s="49" t="s">
        <v>77</v>
      </c>
      <c r="C35" s="8">
        <f>SUM(E42,P3,P7,P6,P30)</f>
        <v>0.22585868</v>
      </c>
      <c r="D35" s="8">
        <f>SUM(F42,O3,Q7,Q6,Q30)</f>
        <v>0.05606423292</v>
      </c>
      <c r="E35" s="8">
        <f t="shared" si="8"/>
        <v>0.2327130025</v>
      </c>
      <c r="F35" s="19">
        <f t="shared" si="9"/>
        <v>942.762544</v>
      </c>
      <c r="G35" s="1"/>
      <c r="H35" s="1"/>
      <c r="I35" s="1"/>
      <c r="J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59" t="s">
        <v>78</v>
      </c>
      <c r="C36" s="60">
        <f>SUM(E42,P3,P6,P7,P31)</f>
        <v>0.24973368</v>
      </c>
      <c r="D36" s="60">
        <f>SUM(F42,O3,Q6,Q7,Q31)</f>
        <v>0.05631298292</v>
      </c>
      <c r="E36" s="60">
        <f t="shared" si="8"/>
        <v>0.2560040292</v>
      </c>
      <c r="F36" s="61">
        <f t="shared" si="9"/>
        <v>856.9908176</v>
      </c>
      <c r="J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J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J38" s="1"/>
      <c r="S38" s="1"/>
      <c r="T38" s="1"/>
      <c r="U38" s="1"/>
      <c r="V38" s="1"/>
      <c r="W38" s="1"/>
      <c r="X38" s="1"/>
      <c r="Y38" s="1"/>
      <c r="Z38" s="1"/>
    </row>
    <row r="39" ht="39.0" customHeight="1">
      <c r="A39" s="1"/>
      <c r="B39" s="62" t="s">
        <v>79</v>
      </c>
      <c r="C39" s="2" t="s">
        <v>80</v>
      </c>
      <c r="D39" s="2" t="s">
        <v>81</v>
      </c>
      <c r="E39" s="2" t="s">
        <v>82</v>
      </c>
      <c r="F39" s="2" t="s">
        <v>83</v>
      </c>
      <c r="G39" s="2" t="s">
        <v>84</v>
      </c>
      <c r="H39" s="1"/>
      <c r="J39" s="1"/>
      <c r="S39" s="1"/>
      <c r="T39" s="1"/>
      <c r="U39" s="1"/>
      <c r="V39" s="1"/>
      <c r="W39" s="1"/>
      <c r="X39" s="1"/>
      <c r="Y39" s="1"/>
      <c r="Z39" s="1"/>
    </row>
    <row r="40" ht="32.25" customHeight="1">
      <c r="A40" s="1"/>
      <c r="B40" s="63"/>
      <c r="C40" s="13">
        <v>500000.0</v>
      </c>
      <c r="D40" s="13">
        <v>10500.0</v>
      </c>
      <c r="E40" s="64">
        <f>D40/C40</f>
        <v>0.021</v>
      </c>
      <c r="F40" s="65">
        <f>0.04</f>
        <v>0.04</v>
      </c>
      <c r="G40" s="66">
        <f>SQRT(((F40)^2)-(E40)^2)</f>
        <v>0.03404408906</v>
      </c>
      <c r="H40" s="67">
        <v>13200.0</v>
      </c>
      <c r="J40" s="1"/>
      <c r="S40" s="1"/>
      <c r="T40" s="1"/>
      <c r="U40" s="1"/>
      <c r="V40" s="1"/>
      <c r="W40" s="1"/>
      <c r="X40" s="1"/>
      <c r="Y40" s="1"/>
      <c r="Z40" s="1"/>
    </row>
    <row r="41" ht="36.0" customHeight="1">
      <c r="A41" s="1"/>
      <c r="B41" s="63"/>
      <c r="C41" s="2" t="s">
        <v>10</v>
      </c>
      <c r="D41" s="2" t="s">
        <v>9</v>
      </c>
      <c r="E41" s="2" t="s">
        <v>12</v>
      </c>
      <c r="F41" s="2" t="s">
        <v>11</v>
      </c>
      <c r="G41" s="2" t="s">
        <v>85</v>
      </c>
      <c r="J41" s="1"/>
      <c r="S41" s="1"/>
      <c r="T41" s="1"/>
      <c r="U41" s="1"/>
      <c r="V41" s="1"/>
      <c r="W41" s="1"/>
      <c r="X41" s="1"/>
      <c r="Y41" s="1"/>
      <c r="Z41" s="1"/>
    </row>
    <row r="42" ht="36.75" customHeight="1">
      <c r="A42" s="1"/>
      <c r="B42" s="68"/>
      <c r="C42" s="69">
        <f>(E40*(H40)^2)/C40</f>
        <v>7.31808</v>
      </c>
      <c r="D42" s="64">
        <f>((G40*H40^2)/C40)</f>
        <v>11.86368416</v>
      </c>
      <c r="E42" s="64">
        <f>C42/(H40/380)^2</f>
        <v>0.0060648</v>
      </c>
      <c r="F42" s="64">
        <f>D42/(H40/380)^2</f>
        <v>0.009831932921</v>
      </c>
      <c r="G42" s="64">
        <f>SQRT(((C42)^2)+((D42)^2))</f>
        <v>13.9392</v>
      </c>
      <c r="J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J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J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2" t="s">
        <v>1</v>
      </c>
      <c r="C47" s="2" t="s">
        <v>2</v>
      </c>
      <c r="D47" s="3" t="s">
        <v>86</v>
      </c>
      <c r="E47" s="70" t="s">
        <v>87</v>
      </c>
      <c r="F47" s="2" t="s">
        <v>88</v>
      </c>
      <c r="G47" s="71"/>
      <c r="H47" s="46" t="s">
        <v>89</v>
      </c>
      <c r="I47" s="47" t="s">
        <v>86</v>
      </c>
      <c r="J47" s="47" t="s">
        <v>87</v>
      </c>
      <c r="K47" s="48" t="s">
        <v>88</v>
      </c>
      <c r="L47" s="7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72" t="s">
        <v>13</v>
      </c>
      <c r="C48" s="7" t="s">
        <v>14</v>
      </c>
      <c r="D48" s="73">
        <v>1.5</v>
      </c>
      <c r="E48" s="74">
        <f t="shared" ref="E48:E55" si="10">F3</f>
        <v>627.9574515</v>
      </c>
      <c r="F48" s="75">
        <f t="shared" ref="F48:F55" si="11">((115*D48/E48)^2)</f>
        <v>0.07546016707</v>
      </c>
      <c r="G48" s="76"/>
      <c r="H48" s="49" t="s">
        <v>56</v>
      </c>
      <c r="I48" s="73">
        <v>70.0</v>
      </c>
      <c r="J48" s="74">
        <f t="shared" ref="J48:J62" si="12">F22</f>
        <v>1070.514953</v>
      </c>
      <c r="K48" s="77">
        <f>(115*I48/J48)^2</f>
        <v>56.54657233</v>
      </c>
      <c r="L48" s="76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78" t="s">
        <v>16</v>
      </c>
      <c r="C49" s="18" t="s">
        <v>17</v>
      </c>
      <c r="D49" s="73">
        <v>4.0</v>
      </c>
      <c r="E49" s="79">
        <f t="shared" si="10"/>
        <v>764.5604272</v>
      </c>
      <c r="F49" s="77">
        <f t="shared" si="11"/>
        <v>0.3619862149</v>
      </c>
      <c r="G49" s="76"/>
      <c r="H49" s="49" t="s">
        <v>58</v>
      </c>
      <c r="I49" s="73">
        <v>2.5</v>
      </c>
      <c r="J49" s="74">
        <f t="shared" si="12"/>
        <v>972.1707795</v>
      </c>
      <c r="K49" s="77">
        <f t="shared" ref="K49:K62" si="13">((115*I49/J49)^2)</f>
        <v>0.08745619359</v>
      </c>
      <c r="L49" s="76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78" t="s">
        <v>18</v>
      </c>
      <c r="C50" s="18" t="s">
        <v>19</v>
      </c>
      <c r="D50" s="73">
        <v>1.5</v>
      </c>
      <c r="E50" s="79">
        <f t="shared" si="10"/>
        <v>634.9511527</v>
      </c>
      <c r="F50" s="77">
        <f t="shared" si="11"/>
        <v>0.07380700234</v>
      </c>
      <c r="G50" s="76"/>
      <c r="H50" s="49" t="s">
        <v>59</v>
      </c>
      <c r="I50" s="73">
        <v>4.0</v>
      </c>
      <c r="J50" s="74">
        <f t="shared" si="12"/>
        <v>927.3986492</v>
      </c>
      <c r="K50" s="77">
        <f t="shared" si="13"/>
        <v>0.2460269855</v>
      </c>
      <c r="L50" s="76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78" t="s">
        <v>25</v>
      </c>
      <c r="C51" s="7" t="s">
        <v>26</v>
      </c>
      <c r="D51" s="73">
        <v>2.5</v>
      </c>
      <c r="E51" s="79">
        <f t="shared" si="10"/>
        <v>607.2254192</v>
      </c>
      <c r="F51" s="77">
        <f t="shared" si="11"/>
        <v>0.2241691326</v>
      </c>
      <c r="G51" s="76"/>
      <c r="H51" s="49" t="s">
        <v>61</v>
      </c>
      <c r="I51" s="73">
        <v>2.5</v>
      </c>
      <c r="J51" s="74">
        <f t="shared" si="12"/>
        <v>725.5815865</v>
      </c>
      <c r="K51" s="77">
        <f t="shared" si="13"/>
        <v>0.1570012797</v>
      </c>
      <c r="L51" s="76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78" t="s">
        <v>29</v>
      </c>
      <c r="C52" s="7" t="s">
        <v>30</v>
      </c>
      <c r="D52" s="73">
        <v>2.5</v>
      </c>
      <c r="E52" s="79">
        <f t="shared" si="10"/>
        <v>761.1329352</v>
      </c>
      <c r="F52" s="77">
        <f t="shared" si="11"/>
        <v>0.1426772297</v>
      </c>
      <c r="G52" s="76"/>
      <c r="H52" s="49" t="s">
        <v>62</v>
      </c>
      <c r="I52" s="73">
        <v>4.0</v>
      </c>
      <c r="J52" s="74">
        <f t="shared" si="12"/>
        <v>690.0714394</v>
      </c>
      <c r="K52" s="77">
        <f t="shared" si="13"/>
        <v>0.4443524273</v>
      </c>
      <c r="L52" s="76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78" t="s">
        <v>33</v>
      </c>
      <c r="C53" s="18" t="s">
        <v>34</v>
      </c>
      <c r="D53" s="73">
        <v>1.5</v>
      </c>
      <c r="E53" s="79">
        <f t="shared" si="10"/>
        <v>536.374478</v>
      </c>
      <c r="F53" s="77">
        <f t="shared" si="11"/>
        <v>0.1034289198</v>
      </c>
      <c r="G53" s="76"/>
      <c r="H53" s="49" t="s">
        <v>64</v>
      </c>
      <c r="I53" s="73">
        <v>2.5</v>
      </c>
      <c r="J53" s="74">
        <f t="shared" si="12"/>
        <v>578.5093152</v>
      </c>
      <c r="K53" s="77">
        <f t="shared" si="13"/>
        <v>0.2469761324</v>
      </c>
      <c r="L53" s="76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78" t="s">
        <v>37</v>
      </c>
      <c r="C54" s="18" t="s">
        <v>38</v>
      </c>
      <c r="D54" s="73">
        <v>1.5</v>
      </c>
      <c r="E54" s="79">
        <f t="shared" si="10"/>
        <v>586.893285</v>
      </c>
      <c r="F54" s="77">
        <f t="shared" si="11"/>
        <v>0.0863892926</v>
      </c>
      <c r="G54" s="76"/>
      <c r="H54" s="49" t="s">
        <v>65</v>
      </c>
      <c r="I54" s="73">
        <v>6.0</v>
      </c>
      <c r="J54" s="74">
        <f t="shared" si="12"/>
        <v>813.999466</v>
      </c>
      <c r="K54" s="77">
        <f t="shared" si="13"/>
        <v>0.7185383321</v>
      </c>
      <c r="L54" s="76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80" t="s">
        <v>40</v>
      </c>
      <c r="C55" s="81" t="s">
        <v>41</v>
      </c>
      <c r="D55" s="82">
        <v>4.0</v>
      </c>
      <c r="E55" s="83">
        <f t="shared" si="10"/>
        <v>889.967739</v>
      </c>
      <c r="F55" s="84">
        <f t="shared" si="11"/>
        <v>0.2671573553</v>
      </c>
      <c r="G55" s="76"/>
      <c r="H55" s="49" t="s">
        <v>67</v>
      </c>
      <c r="I55" s="73">
        <v>2.5</v>
      </c>
      <c r="J55" s="74">
        <f t="shared" si="12"/>
        <v>742.0747244</v>
      </c>
      <c r="K55" s="77">
        <f t="shared" si="13"/>
        <v>0.1500999056</v>
      </c>
      <c r="L55" s="76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H56" s="49" t="s">
        <v>69</v>
      </c>
      <c r="I56" s="73">
        <v>4.0</v>
      </c>
      <c r="J56" s="74">
        <f t="shared" si="12"/>
        <v>698.2821962</v>
      </c>
      <c r="K56" s="77">
        <f t="shared" si="13"/>
        <v>0.4339640215</v>
      </c>
      <c r="L56" s="76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H57" s="49" t="s">
        <v>72</v>
      </c>
      <c r="I57" s="73">
        <v>2.5</v>
      </c>
      <c r="J57" s="74">
        <f t="shared" si="12"/>
        <v>569.233512</v>
      </c>
      <c r="K57" s="77">
        <f t="shared" si="13"/>
        <v>0.2550907895</v>
      </c>
      <c r="L57" s="76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H58" s="49" t="s">
        <v>74</v>
      </c>
      <c r="I58" s="73">
        <v>2.5</v>
      </c>
      <c r="J58" s="74">
        <f t="shared" si="12"/>
        <v>626.3804747</v>
      </c>
      <c r="K58" s="77">
        <f t="shared" si="13"/>
        <v>0.2106683408</v>
      </c>
      <c r="L58" s="76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H59" s="49" t="s">
        <v>75</v>
      </c>
      <c r="I59" s="73">
        <v>4.0</v>
      </c>
      <c r="J59" s="74">
        <f t="shared" si="12"/>
        <v>962.6023957</v>
      </c>
      <c r="K59" s="77">
        <f t="shared" si="13"/>
        <v>0.2283609215</v>
      </c>
      <c r="L59" s="76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H60" s="49" t="s">
        <v>76</v>
      </c>
      <c r="I60" s="73">
        <v>6.0</v>
      </c>
      <c r="J60" s="74">
        <f t="shared" si="12"/>
        <v>930.9017443</v>
      </c>
      <c r="K60" s="77">
        <f t="shared" si="13"/>
        <v>0.5494023255</v>
      </c>
      <c r="L60" s="76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H61" s="85" t="s">
        <v>77</v>
      </c>
      <c r="I61" s="86">
        <v>2.5</v>
      </c>
      <c r="J61" s="87">
        <f t="shared" si="12"/>
        <v>942.762544</v>
      </c>
      <c r="K61" s="88">
        <f t="shared" si="13"/>
        <v>0.09299745394</v>
      </c>
      <c r="L61" s="76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H62" s="89" t="s">
        <v>78</v>
      </c>
      <c r="I62" s="82">
        <v>2.5</v>
      </c>
      <c r="J62" s="90">
        <f t="shared" si="12"/>
        <v>856.9908176</v>
      </c>
      <c r="K62" s="84">
        <f t="shared" si="13"/>
        <v>0.1125442628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1:F1"/>
    <mergeCell ref="B20:F20"/>
    <mergeCell ref="B39:B42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2.75"/>
    <col customWidth="1" min="2" max="2" width="13.5"/>
    <col customWidth="1" min="3" max="3" width="13.0"/>
    <col customWidth="1" min="4" max="26" width="10.63"/>
  </cols>
  <sheetData>
    <row r="1" ht="12.75" customHeight="1">
      <c r="A1" s="91" t="s">
        <v>20</v>
      </c>
      <c r="B1" s="92" t="s">
        <v>90</v>
      </c>
      <c r="C1" s="92" t="s">
        <v>21</v>
      </c>
    </row>
    <row r="2" ht="22.5" customHeight="1">
      <c r="A2" s="93" t="s">
        <v>35</v>
      </c>
      <c r="B2" s="94" t="s">
        <v>91</v>
      </c>
      <c r="C2" s="94" t="s">
        <v>91</v>
      </c>
    </row>
    <row r="3" ht="22.5" customHeight="1">
      <c r="A3" s="93" t="s">
        <v>92</v>
      </c>
      <c r="B3" s="94" t="s">
        <v>91</v>
      </c>
      <c r="C3" s="94" t="s">
        <v>91</v>
      </c>
    </row>
    <row r="4" ht="22.5" customHeight="1">
      <c r="A4" s="93" t="s">
        <v>42</v>
      </c>
      <c r="B4" s="94">
        <v>4.0</v>
      </c>
      <c r="C4" s="94">
        <v>4.0</v>
      </c>
    </row>
    <row r="5" ht="22.5" customHeight="1">
      <c r="A5" s="93" t="s">
        <v>93</v>
      </c>
      <c r="B5" s="94" t="s">
        <v>94</v>
      </c>
      <c r="C5" s="94" t="s">
        <v>94</v>
      </c>
    </row>
    <row r="6" ht="22.5" customHeight="1">
      <c r="A6" s="93" t="s">
        <v>95</v>
      </c>
      <c r="B6" s="94" t="s">
        <v>91</v>
      </c>
      <c r="C6" s="94" t="s">
        <v>91</v>
      </c>
    </row>
    <row r="7" ht="22.5" customHeight="1">
      <c r="A7" s="93" t="s">
        <v>96</v>
      </c>
      <c r="B7" s="94" t="s">
        <v>91</v>
      </c>
      <c r="C7" s="94" t="s">
        <v>91</v>
      </c>
    </row>
    <row r="8" ht="22.5" customHeight="1">
      <c r="A8" s="93" t="s">
        <v>97</v>
      </c>
      <c r="B8" s="94" t="s">
        <v>91</v>
      </c>
      <c r="C8" s="94" t="s">
        <v>91</v>
      </c>
    </row>
    <row r="9" ht="22.5" customHeight="1">
      <c r="A9" s="93" t="s">
        <v>98</v>
      </c>
      <c r="B9" s="94" t="s">
        <v>91</v>
      </c>
      <c r="C9" s="94" t="s">
        <v>91</v>
      </c>
    </row>
    <row r="10" ht="22.5" customHeight="1">
      <c r="A10" s="93" t="s">
        <v>44</v>
      </c>
      <c r="B10" s="94" t="s">
        <v>91</v>
      </c>
      <c r="C10" s="94" t="s">
        <v>91</v>
      </c>
    </row>
    <row r="11" ht="22.5" customHeight="1">
      <c r="A11" s="93" t="s">
        <v>45</v>
      </c>
      <c r="B11" s="94" t="s">
        <v>99</v>
      </c>
      <c r="C11" s="94" t="s">
        <v>91</v>
      </c>
    </row>
    <row r="12" ht="22.5" customHeight="1">
      <c r="A12" s="93" t="s">
        <v>100</v>
      </c>
      <c r="B12" s="94" t="s">
        <v>91</v>
      </c>
      <c r="C12" s="94" t="s">
        <v>91</v>
      </c>
    </row>
    <row r="13" ht="22.5" customHeight="1">
      <c r="A13" s="93" t="s">
        <v>47</v>
      </c>
      <c r="B13" s="94">
        <v>4.0</v>
      </c>
      <c r="C13" s="94">
        <v>4.0</v>
      </c>
    </row>
    <row r="14" ht="22.5" customHeight="1">
      <c r="A14" s="93" t="s">
        <v>101</v>
      </c>
      <c r="B14" s="94" t="s">
        <v>91</v>
      </c>
      <c r="C14" s="94" t="s">
        <v>91</v>
      </c>
    </row>
    <row r="15" ht="22.5" customHeight="1">
      <c r="A15" s="93" t="s">
        <v>48</v>
      </c>
      <c r="B15" s="94" t="s">
        <v>91</v>
      </c>
      <c r="C15" s="94" t="s">
        <v>91</v>
      </c>
    </row>
    <row r="16" ht="22.5" customHeight="1">
      <c r="A16" s="93" t="s">
        <v>102</v>
      </c>
      <c r="B16" s="94" t="s">
        <v>91</v>
      </c>
      <c r="C16" s="94" t="s">
        <v>91</v>
      </c>
    </row>
    <row r="17" ht="22.5" customHeight="1">
      <c r="A17" s="93" t="s">
        <v>49</v>
      </c>
      <c r="B17" s="94">
        <v>6.0</v>
      </c>
      <c r="C17" s="94">
        <v>6.0</v>
      </c>
    </row>
    <row r="18" ht="22.5" customHeight="1">
      <c r="A18" s="93" t="s">
        <v>103</v>
      </c>
      <c r="B18" s="94">
        <v>4.0</v>
      </c>
      <c r="C18" s="94">
        <v>4.0</v>
      </c>
    </row>
    <row r="19" ht="22.5" customHeight="1">
      <c r="A19" s="93" t="s">
        <v>54</v>
      </c>
      <c r="B19" s="94" t="s">
        <v>91</v>
      </c>
      <c r="C19" s="94" t="s">
        <v>91</v>
      </c>
    </row>
    <row r="20" ht="22.5" customHeight="1">
      <c r="A20" s="93" t="s">
        <v>104</v>
      </c>
      <c r="B20" s="94" t="s">
        <v>91</v>
      </c>
      <c r="C20" s="94" t="s">
        <v>91</v>
      </c>
    </row>
    <row r="21" ht="22.5" customHeight="1">
      <c r="A21" s="93" t="s">
        <v>57</v>
      </c>
      <c r="B21" s="94">
        <v>4.0</v>
      </c>
      <c r="C21" s="94">
        <v>4.0</v>
      </c>
    </row>
    <row r="22" ht="22.5" customHeight="1">
      <c r="A22" s="93" t="s">
        <v>105</v>
      </c>
      <c r="B22" s="94" t="s">
        <v>99</v>
      </c>
      <c r="C22" s="94" t="s">
        <v>91</v>
      </c>
    </row>
    <row r="23" ht="22.5" customHeight="1">
      <c r="A23" s="93" t="s">
        <v>106</v>
      </c>
      <c r="B23" s="94" t="s">
        <v>99</v>
      </c>
      <c r="C23" s="94" t="s">
        <v>91</v>
      </c>
    </row>
    <row r="24" ht="22.5" customHeight="1">
      <c r="A24" s="93" t="s">
        <v>107</v>
      </c>
      <c r="B24" s="94" t="s">
        <v>94</v>
      </c>
      <c r="C24" s="94" t="s">
        <v>94</v>
      </c>
    </row>
    <row r="25" ht="22.5" customHeight="1">
      <c r="A25" s="93" t="s">
        <v>108</v>
      </c>
      <c r="B25" s="94">
        <v>4.0</v>
      </c>
      <c r="C25" s="94">
        <v>4.0</v>
      </c>
    </row>
    <row r="26" ht="22.5" customHeight="1">
      <c r="A26" s="93" t="s">
        <v>109</v>
      </c>
      <c r="B26" s="94" t="s">
        <v>91</v>
      </c>
      <c r="C26" s="94" t="s">
        <v>91</v>
      </c>
    </row>
    <row r="27" ht="22.5" customHeight="1">
      <c r="A27" s="93" t="s">
        <v>60</v>
      </c>
      <c r="B27" s="94" t="s">
        <v>91</v>
      </c>
      <c r="C27" s="94" t="s">
        <v>91</v>
      </c>
    </row>
    <row r="28" ht="22.5" customHeight="1">
      <c r="A28" s="93" t="s">
        <v>110</v>
      </c>
      <c r="B28" s="94" t="s">
        <v>91</v>
      </c>
      <c r="C28" s="94" t="s">
        <v>91</v>
      </c>
    </row>
    <row r="29" ht="22.5" customHeight="1">
      <c r="A29" s="93" t="s">
        <v>63</v>
      </c>
      <c r="B29" s="94" t="s">
        <v>91</v>
      </c>
      <c r="C29" s="94" t="s">
        <v>91</v>
      </c>
    </row>
    <row r="30" ht="22.5" customHeight="1">
      <c r="A30" s="93" t="s">
        <v>111</v>
      </c>
      <c r="B30" s="94" t="s">
        <v>91</v>
      </c>
      <c r="C30" s="94" t="s">
        <v>91</v>
      </c>
    </row>
    <row r="31" ht="22.5" customHeight="1">
      <c r="A31" s="93" t="s">
        <v>112</v>
      </c>
      <c r="B31" s="94" t="s">
        <v>91</v>
      </c>
      <c r="C31" s="94" t="s">
        <v>91</v>
      </c>
    </row>
    <row r="32" ht="22.5" customHeight="1">
      <c r="A32" s="93" t="s">
        <v>113</v>
      </c>
      <c r="B32" s="94" t="s">
        <v>91</v>
      </c>
      <c r="C32" s="94" t="s">
        <v>91</v>
      </c>
    </row>
    <row r="33" ht="22.5" customHeight="1">
      <c r="A33" s="93" t="s">
        <v>114</v>
      </c>
      <c r="B33" s="94" t="s">
        <v>91</v>
      </c>
      <c r="C33" s="94" t="s">
        <v>91</v>
      </c>
    </row>
    <row r="34" ht="22.5" customHeight="1">
      <c r="A34" s="93" t="s">
        <v>66</v>
      </c>
      <c r="B34" s="94">
        <v>4.0</v>
      </c>
      <c r="C34" s="94">
        <v>4.0</v>
      </c>
    </row>
    <row r="35" ht="22.5" customHeight="1">
      <c r="A35" s="93" t="s">
        <v>115</v>
      </c>
      <c r="B35" s="94">
        <v>4.0</v>
      </c>
      <c r="C35" s="94">
        <v>4.0</v>
      </c>
    </row>
    <row r="36" ht="22.5" customHeight="1">
      <c r="A36" s="93" t="s">
        <v>116</v>
      </c>
      <c r="B36" s="94" t="s">
        <v>91</v>
      </c>
      <c r="C36" s="94" t="s">
        <v>91</v>
      </c>
    </row>
    <row r="37" ht="22.5" customHeight="1">
      <c r="A37" s="93" t="s">
        <v>73</v>
      </c>
      <c r="B37" s="94" t="s">
        <v>91</v>
      </c>
      <c r="C37" s="94" t="s">
        <v>91</v>
      </c>
    </row>
    <row r="38" ht="22.5" customHeight="1">
      <c r="A38" s="93" t="s">
        <v>117</v>
      </c>
      <c r="B38" s="94" t="s">
        <v>91</v>
      </c>
      <c r="C38" s="94" t="s">
        <v>91</v>
      </c>
    </row>
    <row r="39" ht="22.5" customHeight="1">
      <c r="A39" s="93" t="s">
        <v>68</v>
      </c>
      <c r="B39" s="94">
        <v>6.0</v>
      </c>
      <c r="C39" s="94">
        <v>6.0</v>
      </c>
    </row>
    <row r="40" ht="22.5" customHeight="1">
      <c r="A40" s="93" t="s">
        <v>118</v>
      </c>
      <c r="B40" s="94" t="s">
        <v>91</v>
      </c>
      <c r="C40" s="94" t="s">
        <v>91</v>
      </c>
    </row>
    <row r="41" ht="22.5" customHeight="1">
      <c r="A41" s="93" t="s">
        <v>119</v>
      </c>
      <c r="B41" s="94" t="s">
        <v>91</v>
      </c>
      <c r="C41" s="94" t="s">
        <v>91</v>
      </c>
    </row>
    <row r="42" ht="22.5" customHeight="1">
      <c r="A42" s="93" t="s">
        <v>120</v>
      </c>
      <c r="B42" s="94" t="s">
        <v>91</v>
      </c>
      <c r="C42" s="94" t="s">
        <v>91</v>
      </c>
    </row>
    <row r="43" ht="22.5" customHeight="1">
      <c r="A43" s="93" t="s">
        <v>121</v>
      </c>
      <c r="B43" s="94" t="s">
        <v>91</v>
      </c>
      <c r="C43" s="94" t="s">
        <v>91</v>
      </c>
    </row>
    <row r="44" ht="22.5" customHeight="1">
      <c r="A44" s="93" t="s">
        <v>122</v>
      </c>
      <c r="B44" s="94" t="s">
        <v>91</v>
      </c>
      <c r="C44" s="94" t="s">
        <v>91</v>
      </c>
    </row>
    <row r="45" ht="22.5" customHeight="1">
      <c r="A45" s="93" t="s">
        <v>123</v>
      </c>
      <c r="B45" s="94" t="s">
        <v>91</v>
      </c>
      <c r="C45" s="94" t="s">
        <v>91</v>
      </c>
    </row>
    <row r="46" ht="22.5" customHeight="1">
      <c r="A46" s="93" t="s">
        <v>124</v>
      </c>
      <c r="B46" s="94" t="s">
        <v>91</v>
      </c>
      <c r="C46" s="94" t="s">
        <v>91</v>
      </c>
    </row>
    <row r="47" ht="22.5" customHeight="1">
      <c r="A47" s="93" t="s">
        <v>125</v>
      </c>
      <c r="B47" s="94" t="s">
        <v>91</v>
      </c>
      <c r="C47" s="94" t="s">
        <v>91</v>
      </c>
    </row>
    <row r="48" ht="22.5" customHeight="1">
      <c r="A48" s="93" t="s">
        <v>126</v>
      </c>
      <c r="B48" s="94" t="s">
        <v>91</v>
      </c>
      <c r="C48" s="94" t="s">
        <v>91</v>
      </c>
    </row>
    <row r="49" ht="22.5" customHeight="1">
      <c r="A49" s="93" t="s">
        <v>127</v>
      </c>
      <c r="B49" s="94" t="s">
        <v>91</v>
      </c>
      <c r="C49" s="94" t="s">
        <v>91</v>
      </c>
    </row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1.0"/>
    <col customWidth="1" min="2" max="3" width="11.13"/>
    <col customWidth="1" min="4" max="4" width="11.75"/>
  </cols>
  <sheetData>
    <row r="1" ht="22.5" customHeight="1">
      <c r="A1" s="95" t="s">
        <v>128</v>
      </c>
      <c r="B1" s="96" t="s">
        <v>129</v>
      </c>
      <c r="C1" s="96" t="s">
        <v>130</v>
      </c>
      <c r="D1" s="96" t="s">
        <v>131</v>
      </c>
    </row>
    <row r="2" ht="22.5" customHeight="1">
      <c r="A2" s="97" t="s">
        <v>132</v>
      </c>
      <c r="B2" s="98">
        <v>3.3</v>
      </c>
      <c r="C2" s="98">
        <v>0.6</v>
      </c>
      <c r="D2" s="99">
        <f t="shared" ref="D2:D16" si="1">(B2/C2)*SIN(ACOS(C2))</f>
        <v>4.4</v>
      </c>
    </row>
    <row r="3" ht="22.5" customHeight="1">
      <c r="A3" s="97" t="s">
        <v>133</v>
      </c>
      <c r="B3" s="98">
        <v>0.88</v>
      </c>
      <c r="C3" s="98">
        <v>0.8</v>
      </c>
      <c r="D3" s="99">
        <f t="shared" si="1"/>
        <v>0.66</v>
      </c>
    </row>
    <row r="4" ht="22.5" customHeight="1">
      <c r="A4" s="97" t="s">
        <v>134</v>
      </c>
      <c r="B4" s="98">
        <v>1.91</v>
      </c>
      <c r="C4" s="98">
        <v>0.79</v>
      </c>
      <c r="D4" s="99">
        <f t="shared" si="1"/>
        <v>1.482321606</v>
      </c>
    </row>
    <row r="5" ht="22.5" customHeight="1">
      <c r="A5" s="97" t="s">
        <v>135</v>
      </c>
      <c r="B5" s="98">
        <v>0.13</v>
      </c>
      <c r="C5" s="100">
        <v>0.8</v>
      </c>
      <c r="D5" s="99">
        <f t="shared" si="1"/>
        <v>0.0975</v>
      </c>
    </row>
    <row r="6" ht="22.5" customHeight="1">
      <c r="A6" s="97" t="s">
        <v>136</v>
      </c>
      <c r="B6" s="98">
        <v>2.82</v>
      </c>
      <c r="C6" s="100">
        <v>0.64</v>
      </c>
      <c r="D6" s="99">
        <f t="shared" si="1"/>
        <v>3.385651941</v>
      </c>
    </row>
    <row r="7" ht="22.5" customHeight="1">
      <c r="A7" s="97" t="s">
        <v>17</v>
      </c>
      <c r="B7" s="98">
        <v>16.0</v>
      </c>
      <c r="C7" s="100">
        <v>0.75</v>
      </c>
      <c r="D7" s="99">
        <f t="shared" si="1"/>
        <v>14.11067366</v>
      </c>
    </row>
    <row r="8" ht="22.5" customHeight="1">
      <c r="A8" s="97" t="s">
        <v>137</v>
      </c>
      <c r="B8" s="98">
        <v>1.5</v>
      </c>
      <c r="C8" s="100">
        <v>0.8</v>
      </c>
      <c r="D8" s="99">
        <f t="shared" si="1"/>
        <v>1.125</v>
      </c>
    </row>
    <row r="9" ht="22.5" customHeight="1">
      <c r="A9" s="97" t="s">
        <v>138</v>
      </c>
      <c r="B9" s="98">
        <v>4.1</v>
      </c>
      <c r="C9" s="100">
        <v>0.8</v>
      </c>
      <c r="D9" s="99">
        <f t="shared" si="1"/>
        <v>3.075</v>
      </c>
    </row>
    <row r="10" ht="22.5" customHeight="1">
      <c r="A10" s="97" t="s">
        <v>34</v>
      </c>
      <c r="B10" s="98">
        <v>2.2</v>
      </c>
      <c r="C10" s="100">
        <v>0.8</v>
      </c>
      <c r="D10" s="99">
        <f t="shared" si="1"/>
        <v>1.65</v>
      </c>
    </row>
    <row r="11" ht="22.5" customHeight="1">
      <c r="A11" s="97" t="s">
        <v>139</v>
      </c>
      <c r="B11" s="98">
        <v>0.55</v>
      </c>
      <c r="C11" s="100">
        <v>0.8</v>
      </c>
      <c r="D11" s="99">
        <f t="shared" si="1"/>
        <v>0.4125</v>
      </c>
    </row>
    <row r="12" ht="22.5" customHeight="1">
      <c r="A12" s="97" t="s">
        <v>41</v>
      </c>
      <c r="B12" s="98">
        <v>7.44</v>
      </c>
      <c r="C12" s="100">
        <v>0.8</v>
      </c>
      <c r="D12" s="99">
        <f t="shared" si="1"/>
        <v>5.58</v>
      </c>
    </row>
    <row r="13" ht="22.5" customHeight="1">
      <c r="A13" s="97" t="s">
        <v>140</v>
      </c>
      <c r="B13" s="98">
        <v>0.43</v>
      </c>
      <c r="C13" s="100">
        <v>0.75</v>
      </c>
      <c r="D13" s="99">
        <f t="shared" si="1"/>
        <v>0.3792243546</v>
      </c>
    </row>
    <row r="14" ht="22.5" customHeight="1">
      <c r="A14" s="97" t="s">
        <v>141</v>
      </c>
      <c r="B14" s="98">
        <v>0.15</v>
      </c>
      <c r="C14" s="100">
        <v>0.65</v>
      </c>
      <c r="D14" s="99">
        <f t="shared" si="1"/>
        <v>0.1753694325</v>
      </c>
    </row>
    <row r="15" ht="22.5" customHeight="1">
      <c r="A15" s="97" t="s">
        <v>142</v>
      </c>
      <c r="B15" s="98">
        <v>0.99</v>
      </c>
      <c r="C15" s="100">
        <v>0.75</v>
      </c>
      <c r="D15" s="99">
        <f t="shared" si="1"/>
        <v>0.8730979327</v>
      </c>
    </row>
    <row r="16" ht="22.5" customHeight="1">
      <c r="A16" s="97" t="s">
        <v>142</v>
      </c>
      <c r="B16" s="98">
        <v>0.99</v>
      </c>
      <c r="C16" s="100">
        <v>0.75</v>
      </c>
      <c r="D16" s="99">
        <f t="shared" si="1"/>
        <v>0.8730979327</v>
      </c>
    </row>
    <row r="18">
      <c r="B18" s="101" t="s">
        <v>143</v>
      </c>
      <c r="C18" s="101" t="s">
        <v>130</v>
      </c>
      <c r="D18" s="101" t="s">
        <v>144</v>
      </c>
    </row>
    <row r="19">
      <c r="B19" s="102">
        <f>SUM(B2:B16)</f>
        <v>43.39</v>
      </c>
      <c r="C19" s="103">
        <f>COS(ATAN(D19/B19))</f>
        <v>0.7498880734</v>
      </c>
      <c r="D19" s="104">
        <f>SUM(D2:D16)</f>
        <v>38.27943686</v>
      </c>
    </row>
    <row r="21">
      <c r="B21" s="101" t="s">
        <v>143</v>
      </c>
      <c r="C21" s="101" t="s">
        <v>145</v>
      </c>
      <c r="D21" s="101" t="s">
        <v>146</v>
      </c>
    </row>
    <row r="22">
      <c r="B22" s="102">
        <f>B19</f>
        <v>43.39</v>
      </c>
      <c r="C22" s="105">
        <v>0.95</v>
      </c>
      <c r="D22" s="102">
        <f>B22*(TAN(ACOS(C22)))</f>
        <v>14.26160332</v>
      </c>
    </row>
  </sheetData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2023-11-03T08:09:09Z</dcterms:created>
  <dc:creator>Leandro Duarte</dc:creator>
</cp:coreProperties>
</file>